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Default Extension="docx" ContentType="application/vnd.openxmlformats-officedocument.wordprocessingml.document"/>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360" yWindow="90" windowWidth="9720" windowHeight="6750" tabRatio="798" firstSheet="3" activeTab="6"/>
  </bookViews>
  <sheets>
    <sheet name="Preface" sheetId="16" state="hidden" r:id="rId1"/>
    <sheet name="Guidelines" sheetId="1" r:id="rId2"/>
    <sheet name="IT Declaration" sheetId="5" state="hidden" r:id="rId3"/>
    <sheet name="Form 10E" sheetId="21" r:id="rId4"/>
    <sheet name="TABLE A FOR FORM 10E" sheetId="22" r:id="rId5"/>
    <sheet name="Data for Relief US 89" sheetId="19" r:id="rId6"/>
    <sheet name="Data Sheet" sheetId="2" r:id="rId7"/>
    <sheet name="Computation Sheet" sheetId="3" r:id="rId8"/>
    <sheet name="Earnings Sheet" sheetId="6" r:id="rId9"/>
    <sheet name="Form 16 Revised" sheetId="12" r:id="rId10"/>
    <sheet name="Form 12BA" sheetId="10" r:id="rId11"/>
    <sheet name="Perks Sheet" sheetId="9" r:id="rId12"/>
    <sheet name="Perks on Loans" sheetId="8" r:id="rId13"/>
    <sheet name="NSC VIII Issue" sheetId="17" r:id="rId14"/>
    <sheet name="NSC IX Issue" sheetId="15" r:id="rId15"/>
    <sheet name="HRA Calculator" sheetId="14" state="hidden" r:id="rId16"/>
    <sheet name="CIT-TDS" sheetId="13" state="hidden" r:id="rId17"/>
    <sheet name="Excess Interest on PF" sheetId="11" state="hidden" r:id="rId18"/>
    <sheet name="Foreword" sheetId="18" state="hidden" r:id="rId19"/>
  </sheets>
  <externalReferences>
    <externalReference r:id="rId20"/>
  </externalReferences>
  <definedNames>
    <definedName name="BP_OLD">'[1]Scale of Pay Chart'!$A$31:$A$84</definedName>
    <definedName name="BP_OLD1">[1]Details!$H$3:$H$30</definedName>
    <definedName name="ExistingSP">[1]Details!$C$3:$C$32</definedName>
    <definedName name="existPQP">[1]Details!$Q$2:$Q$7</definedName>
    <definedName name="JurisdictionalDistrict">'CIT-TDS'!$A$43:$A$148</definedName>
    <definedName name="OLE_LINK2" localSheetId="1">Guidelines!$B$98</definedName>
    <definedName name="OLE_LINK4" localSheetId="1">Guidelines!$B$100</definedName>
    <definedName name="_xlnm.Print_Area" localSheetId="6">'Data Sheet'!$A$1:$I$176</definedName>
    <definedName name="_xlnm.Print_Area" localSheetId="8">'Earnings Sheet'!$C$1:$Z$19</definedName>
    <definedName name="_xlnm.Print_Area" localSheetId="10">'Form 12BA'!$A$1:$I$51</definedName>
    <definedName name="_xlnm.Print_Area" localSheetId="12">'Perks on Loans'!$1:$26</definedName>
    <definedName name="_xlnm.Print_Area" localSheetId="11">'Perks Sheet'!$A$1:$I$124</definedName>
    <definedName name="_xlnm.Print_Titles" localSheetId="7">'Computation Sheet'!$1:$6</definedName>
    <definedName name="_xlnm.Print_Titles" localSheetId="6">'Data Sheet'!$1:$3</definedName>
    <definedName name="_xlnm.Print_Titles" localSheetId="8">'Earnings Sheet'!$3:$3</definedName>
    <definedName name="_xlnm.Print_Titles" localSheetId="9">'Form 16 Revised'!$1:$6</definedName>
    <definedName name="_xlnm.Print_Titles" localSheetId="15">'HRA Calculator'!$1:$5</definedName>
    <definedName name="_xlnm.Print_Titles" localSheetId="2">'IT Declaration'!$3:$6</definedName>
    <definedName name="_xlnm.Print_Titles" localSheetId="11">'Perks Sheet'!$7:$9</definedName>
    <definedName name="State">'CIT-TDS'!$A:$A</definedName>
    <definedName name="States">'CIT-TDS'!$A$3:$A$35</definedName>
    <definedName name="States_r">'CIT-TDS'!$A$1:$A$39</definedName>
    <definedName name="Statess">'CIT-TDS'!$A$1:$A$36</definedName>
    <definedName name="ValidFPP">'[1]FPP (2)'!$B$3:$B$57</definedName>
    <definedName name="ValidPayPost">[1]Details!$B$2:$B$33</definedName>
    <definedName name="ValidPost">[1]Details!$B$3:$B$33</definedName>
    <definedName name="Z_86267FB2_7211_4E03_9015_3D01F6C1B987_.wvu.Cols" localSheetId="5" hidden="1">'Data for Relief US 89'!#REF!,'Data for Relief US 89'!$J:$J</definedName>
    <definedName name="Z_86267FB2_7211_4E03_9015_3D01F6C1B987_.wvu.Rows" localSheetId="5" hidden="1">'Data for Relief US 89'!#REF!,'Data for Relief US 89'!#REF!</definedName>
    <definedName name="Z_BC7AD179_3218_4244_A3F6_4056F6A573C9_.wvu.Cols" localSheetId="14" hidden="1">'NSC IX Issue'!$I:$I</definedName>
    <definedName name="Z_BC7AD179_3218_4244_A3F6_4056F6A573C9_.wvu.Cols" localSheetId="13" hidden="1">'NSC VIII Issue'!$I:$I</definedName>
    <definedName name="Z_BC7AD179_3218_4244_A3F6_4056F6A573C9_.wvu.PrintArea" localSheetId="6" hidden="1">'Data Sheet'!$A$1:$I$176</definedName>
    <definedName name="Z_BC7AD179_3218_4244_A3F6_4056F6A573C9_.wvu.PrintArea" localSheetId="8" hidden="1">'Earnings Sheet'!$C$1:$Z$19</definedName>
    <definedName name="Z_BC7AD179_3218_4244_A3F6_4056F6A573C9_.wvu.PrintArea" localSheetId="12" hidden="1">'Perks on Loans'!$1:$26</definedName>
    <definedName name="Z_BC7AD179_3218_4244_A3F6_4056F6A573C9_.wvu.PrintTitles" localSheetId="7" hidden="1">'Computation Sheet'!$1:$6</definedName>
    <definedName name="Z_BC7AD179_3218_4244_A3F6_4056F6A573C9_.wvu.PrintTitles" localSheetId="6" hidden="1">'Data Sheet'!$1:$3</definedName>
    <definedName name="Z_BC7AD179_3218_4244_A3F6_4056F6A573C9_.wvu.PrintTitles" localSheetId="8" hidden="1">'Earnings Sheet'!$3:$3</definedName>
    <definedName name="Z_BC7AD179_3218_4244_A3F6_4056F6A573C9_.wvu.PrintTitles" localSheetId="2" hidden="1">'IT Declaration'!$3:$6</definedName>
    <definedName name="Z_BC7AD179_3218_4244_A3F6_4056F6A573C9_.wvu.PrintTitles" localSheetId="11" hidden="1">'Perks Sheet'!$7:$9</definedName>
  </definedNames>
  <calcPr calcId="124519"/>
  <customWorkbookViews>
    <customWorkbookView name="O.D.Kamalakannan - Personal View" guid="{BC7AD179-3218-4244-A3F6-4056F6A573C9}" mergeInterval="0" personalView="1" maximized="1" xWindow="1" yWindow="1" windowWidth="800" windowHeight="353" tabRatio="798" activeSheetId="1"/>
  </customWorkbookViews>
</workbook>
</file>

<file path=xl/calcChain.xml><?xml version="1.0" encoding="utf-8"?>
<calcChain xmlns="http://schemas.openxmlformats.org/spreadsheetml/2006/main">
  <c r="H115" i="3"/>
  <c r="B133"/>
  <c r="B134"/>
  <c r="B135"/>
  <c r="B136"/>
  <c r="B137"/>
  <c r="B132"/>
  <c r="M19" i="8"/>
  <c r="G12"/>
  <c r="G13"/>
  <c r="G14"/>
  <c r="G15"/>
  <c r="G16"/>
  <c r="G17"/>
  <c r="G18"/>
  <c r="G19"/>
  <c r="G11"/>
  <c r="G9"/>
  <c r="G10"/>
  <c r="G8"/>
  <c r="I8" i="17"/>
  <c r="J29"/>
  <c r="I29"/>
  <c r="M9" i="8"/>
  <c r="M10"/>
  <c r="M11"/>
  <c r="M12"/>
  <c r="M13"/>
  <c r="M14"/>
  <c r="M15"/>
  <c r="M16"/>
  <c r="M17"/>
  <c r="M18"/>
  <c r="M8"/>
  <c r="H33" i="22" l="1"/>
  <c r="F33"/>
  <c r="D33"/>
  <c r="C13" i="19"/>
  <c r="C14"/>
  <c r="C12"/>
  <c r="O18" i="6" l="1"/>
  <c r="H20" i="3" s="1"/>
  <c r="P18" i="6"/>
  <c r="Q8"/>
  <c r="Q9"/>
  <c r="Q12"/>
  <c r="Q13"/>
  <c r="Q5"/>
  <c r="Q7"/>
  <c r="Q10"/>
  <c r="Q11"/>
  <c r="Q14"/>
  <c r="Q15"/>
  <c r="Q6"/>
  <c r="I11" i="2"/>
  <c r="H104" s="1"/>
  <c r="H113"/>
  <c r="F106" i="3" s="1"/>
  <c r="H106" s="1"/>
  <c r="H103" i="2"/>
  <c r="G20" i="8"/>
  <c r="M20"/>
  <c r="Q17" i="6"/>
  <c r="H109" i="9"/>
  <c r="I10" i="17"/>
  <c r="I11"/>
  <c r="I12"/>
  <c r="I13"/>
  <c r="I14"/>
  <c r="I15"/>
  <c r="I16"/>
  <c r="I17"/>
  <c r="I18"/>
  <c r="I19"/>
  <c r="I20"/>
  <c r="I21"/>
  <c r="I9"/>
  <c r="E10"/>
  <c r="E11"/>
  <c r="E12"/>
  <c r="E13"/>
  <c r="E14"/>
  <c r="E15"/>
  <c r="E16"/>
  <c r="E17"/>
  <c r="E18"/>
  <c r="E19"/>
  <c r="E20"/>
  <c r="E21"/>
  <c r="E9"/>
  <c r="I9" i="8"/>
  <c r="I10"/>
  <c r="I11"/>
  <c r="I12"/>
  <c r="I13"/>
  <c r="I14"/>
  <c r="I15"/>
  <c r="I16"/>
  <c r="I17"/>
  <c r="I18"/>
  <c r="I19"/>
  <c r="I20"/>
  <c r="I8"/>
  <c r="K9"/>
  <c r="K10"/>
  <c r="K11"/>
  <c r="K12"/>
  <c r="K13"/>
  <c r="K14"/>
  <c r="K15"/>
  <c r="K16"/>
  <c r="K17"/>
  <c r="K18"/>
  <c r="K19"/>
  <c r="K8"/>
  <c r="C9"/>
  <c r="C10"/>
  <c r="C11"/>
  <c r="C12"/>
  <c r="C13"/>
  <c r="C14"/>
  <c r="C15"/>
  <c r="C16"/>
  <c r="C17"/>
  <c r="C18"/>
  <c r="C19"/>
  <c r="C8"/>
  <c r="H105" i="2"/>
  <c r="H107" i="9"/>
  <c r="Q16" i="6" l="1"/>
  <c r="Q18" s="1"/>
  <c r="H78" i="12"/>
  <c r="D106" i="3"/>
  <c r="G78" i="12" s="1"/>
  <c r="F9" i="17"/>
  <c r="F20"/>
  <c r="F18"/>
  <c r="F16"/>
  <c r="F14"/>
  <c r="F12"/>
  <c r="F10"/>
  <c r="F21"/>
  <c r="F19"/>
  <c r="F17"/>
  <c r="F15"/>
  <c r="F13"/>
  <c r="F11"/>
  <c r="E45" i="2"/>
  <c r="D45"/>
  <c r="C45"/>
  <c r="B45"/>
  <c r="I43"/>
  <c r="H43"/>
  <c r="G43"/>
  <c r="F43"/>
  <c r="E43"/>
  <c r="D43"/>
  <c r="C43"/>
  <c r="B43"/>
  <c r="F116" l="1"/>
  <c r="D109" i="3" s="1"/>
  <c r="H115" i="2"/>
  <c r="D100" i="3"/>
  <c r="F24" i="8"/>
  <c r="F23"/>
  <c r="F20"/>
  <c r="K20"/>
  <c r="H116" i="2" l="1"/>
  <c r="H109" i="3" s="1"/>
  <c r="E9" i="8"/>
  <c r="E10"/>
  <c r="E11"/>
  <c r="E12"/>
  <c r="E13"/>
  <c r="E14"/>
  <c r="E15"/>
  <c r="E16"/>
  <c r="E17"/>
  <c r="E18"/>
  <c r="E19"/>
  <c r="E8"/>
  <c r="F109" i="3" l="1"/>
  <c r="J5" i="9"/>
  <c r="J30" s="1"/>
  <c r="J6"/>
  <c r="J31" s="1"/>
  <c r="J7"/>
  <c r="J32" s="1"/>
  <c r="J8"/>
  <c r="J33" s="1"/>
  <c r="J9"/>
  <c r="J34" s="1"/>
  <c r="J10"/>
  <c r="J35" s="1"/>
  <c r="J11"/>
  <c r="J36" s="1"/>
  <c r="J12"/>
  <c r="J37" s="1"/>
  <c r="J13"/>
  <c r="J38" s="1"/>
  <c r="J14"/>
  <c r="J39" s="1"/>
  <c r="J15"/>
  <c r="J40" s="1"/>
  <c r="A16"/>
  <c r="E18"/>
  <c r="H18" i="2"/>
  <c r="E20" i="8" l="1"/>
  <c r="L27" i="6" l="1"/>
  <c r="L28"/>
  <c r="L29"/>
  <c r="L30"/>
  <c r="L31"/>
  <c r="L32"/>
  <c r="L33"/>
  <c r="L34"/>
  <c r="L35"/>
  <c r="L36"/>
  <c r="L37"/>
  <c r="L38"/>
  <c r="L39"/>
  <c r="L40"/>
  <c r="L41"/>
  <c r="L42"/>
  <c r="N18"/>
  <c r="M18"/>
  <c r="H14" i="3" s="1"/>
  <c r="A25" i="21" l="1"/>
  <c r="F7"/>
  <c r="F5"/>
  <c r="F4"/>
  <c r="C8" i="22"/>
  <c r="C7"/>
  <c r="F24" s="1"/>
  <c r="C6"/>
  <c r="K15" i="19"/>
  <c r="G15"/>
  <c r="E15"/>
  <c r="H14"/>
  <c r="E8" i="22" s="1"/>
  <c r="H13" i="19"/>
  <c r="H12"/>
  <c r="E6" i="22" s="1"/>
  <c r="E89" i="3"/>
  <c r="F89" s="1"/>
  <c r="C89"/>
  <c r="F26" i="22" l="1"/>
  <c r="F25"/>
  <c r="D24"/>
  <c r="D28" s="1"/>
  <c r="G20" i="21"/>
  <c r="L16" i="22"/>
  <c r="A23" i="21"/>
  <c r="F45" i="22"/>
  <c r="H34" i="21" s="1"/>
  <c r="C9" i="22"/>
  <c r="H24"/>
  <c r="F28"/>
  <c r="G8"/>
  <c r="D34" s="1"/>
  <c r="D35" s="1"/>
  <c r="G49" i="21"/>
  <c r="E7" i="22"/>
  <c r="E9" s="1"/>
  <c r="H13" i="21" s="1"/>
  <c r="H15" i="19"/>
  <c r="G6" i="22"/>
  <c r="D108" i="3"/>
  <c r="F108"/>
  <c r="H101" i="2"/>
  <c r="D97" i="3" s="1"/>
  <c r="F118" i="2"/>
  <c r="H117" s="1"/>
  <c r="H106"/>
  <c r="H28" i="22" l="1"/>
  <c r="H26"/>
  <c r="H25"/>
  <c r="D36"/>
  <c r="D26"/>
  <c r="D25"/>
  <c r="H108" i="3"/>
  <c r="Q19" i="6"/>
  <c r="H26" i="3"/>
  <c r="H34" i="22"/>
  <c r="D38"/>
  <c r="D37"/>
  <c r="G7"/>
  <c r="F34" s="1"/>
  <c r="F27"/>
  <c r="F97" i="3"/>
  <c r="H97" s="1"/>
  <c r="F100"/>
  <c r="H99" i="2"/>
  <c r="H109"/>
  <c r="F95"/>
  <c r="H112" s="1"/>
  <c r="I11" i="12"/>
  <c r="H11"/>
  <c r="H18" i="6"/>
  <c r="H10" i="3" s="1"/>
  <c r="C58" i="2"/>
  <c r="D58"/>
  <c r="E58"/>
  <c r="B58"/>
  <c r="E11" i="12"/>
  <c r="B11"/>
  <c r="H79" i="9"/>
  <c r="H77"/>
  <c r="H75"/>
  <c r="H73"/>
  <c r="B76" i="2"/>
  <c r="B10" i="12"/>
  <c r="F165" i="2"/>
  <c r="F85"/>
  <c r="L26" i="6"/>
  <c r="B100" i="12"/>
  <c r="A11" i="14"/>
  <c r="A28" s="1"/>
  <c r="A12"/>
  <c r="A29" s="1"/>
  <c r="A13"/>
  <c r="A30" s="1"/>
  <c r="A14"/>
  <c r="A31" s="1"/>
  <c r="A15"/>
  <c r="A32" s="1"/>
  <c r="A16"/>
  <c r="A33" s="1"/>
  <c r="A17"/>
  <c r="A34" s="1"/>
  <c r="A18"/>
  <c r="A35" s="1"/>
  <c r="A19"/>
  <c r="A36" s="1"/>
  <c r="A20"/>
  <c r="A37" s="1"/>
  <c r="A21"/>
  <c r="A38" s="1"/>
  <c r="A10"/>
  <c r="A27" s="1"/>
  <c r="G19" i="17"/>
  <c r="E8"/>
  <c r="F8" s="1"/>
  <c r="E7"/>
  <c r="A3"/>
  <c r="A2"/>
  <c r="A1"/>
  <c r="I56" i="2"/>
  <c r="H56"/>
  <c r="G56"/>
  <c r="F56"/>
  <c r="D56"/>
  <c r="E56"/>
  <c r="C56"/>
  <c r="B56"/>
  <c r="G38" i="14"/>
  <c r="D38" s="1"/>
  <c r="G37"/>
  <c r="F37" s="1"/>
  <c r="G36"/>
  <c r="C36" s="1"/>
  <c r="G35"/>
  <c r="F35" s="1"/>
  <c r="H22" i="3"/>
  <c r="D99"/>
  <c r="G70" i="12" s="1"/>
  <c r="E7" i="10"/>
  <c r="C14" i="12"/>
  <c r="F11"/>
  <c r="G8"/>
  <c r="D8"/>
  <c r="A8"/>
  <c r="F5"/>
  <c r="F4"/>
  <c r="I6"/>
  <c r="G6"/>
  <c r="C124" i="3"/>
  <c r="B51" i="10"/>
  <c r="B50"/>
  <c r="A43"/>
  <c r="G50"/>
  <c r="G24" i="12"/>
  <c r="E15" i="10"/>
  <c r="E12"/>
  <c r="E11"/>
  <c r="E10"/>
  <c r="E8"/>
  <c r="E9"/>
  <c r="A103" i="5"/>
  <c r="A102"/>
  <c r="H110" i="2"/>
  <c r="F103" i="3" s="1"/>
  <c r="H75" i="12" s="1"/>
  <c r="H59" i="3"/>
  <c r="E44" i="12" s="1"/>
  <c r="C125" i="3"/>
  <c r="C1" i="6"/>
  <c r="A1" i="9" s="1"/>
  <c r="D27" i="6"/>
  <c r="B108" i="12" s="1"/>
  <c r="D108"/>
  <c r="D28" i="6"/>
  <c r="B109" i="12" s="1"/>
  <c r="D109"/>
  <c r="D29" i="6"/>
  <c r="B110" i="12" s="1"/>
  <c r="D110"/>
  <c r="D30" i="6"/>
  <c r="B111" i="12" s="1"/>
  <c r="D111"/>
  <c r="D31" i="6"/>
  <c r="B112" i="12" s="1"/>
  <c r="D112"/>
  <c r="D32" i="6"/>
  <c r="B113" i="12" s="1"/>
  <c r="D113"/>
  <c r="D33" i="6"/>
  <c r="B114" i="12" s="1"/>
  <c r="D114"/>
  <c r="D34" i="6"/>
  <c r="B115" i="12" s="1"/>
  <c r="D115"/>
  <c r="D35" i="6"/>
  <c r="B116" i="12" s="1"/>
  <c r="D116"/>
  <c r="D36" i="6"/>
  <c r="B117" i="12" s="1"/>
  <c r="D117"/>
  <c r="D118"/>
  <c r="D26" i="6"/>
  <c r="B107" i="12" s="1"/>
  <c r="D107"/>
  <c r="G107"/>
  <c r="B99"/>
  <c r="F68" i="2"/>
  <c r="F59"/>
  <c r="E29" i="9" s="1"/>
  <c r="J41"/>
  <c r="K28"/>
  <c r="L28"/>
  <c r="M28"/>
  <c r="N28"/>
  <c r="O28"/>
  <c r="J28"/>
  <c r="I53" i="2"/>
  <c r="H53"/>
  <c r="A7" i="6"/>
  <c r="B7"/>
  <c r="A8"/>
  <c r="B8"/>
  <c r="A9"/>
  <c r="B9"/>
  <c r="A10"/>
  <c r="B10"/>
  <c r="A11"/>
  <c r="B11"/>
  <c r="A12"/>
  <c r="B12"/>
  <c r="A13"/>
  <c r="B13"/>
  <c r="A14"/>
  <c r="B14"/>
  <c r="A15"/>
  <c r="B15"/>
  <c r="A16"/>
  <c r="B16"/>
  <c r="A6"/>
  <c r="B6"/>
  <c r="B5"/>
  <c r="A5"/>
  <c r="K4" i="9" s="1"/>
  <c r="J4"/>
  <c r="J29" s="1"/>
  <c r="E8" i="15"/>
  <c r="E7"/>
  <c r="I8"/>
  <c r="I9"/>
  <c r="A3"/>
  <c r="A2"/>
  <c r="A1"/>
  <c r="D11" i="14"/>
  <c r="D12"/>
  <c r="D13"/>
  <c r="D14"/>
  <c r="D15"/>
  <c r="D16"/>
  <c r="D17"/>
  <c r="D18"/>
  <c r="D19"/>
  <c r="D20"/>
  <c r="D21"/>
  <c r="D10"/>
  <c r="C10"/>
  <c r="C12"/>
  <c r="E12" s="1"/>
  <c r="C13"/>
  <c r="E13" s="1"/>
  <c r="C14"/>
  <c r="E14" s="1"/>
  <c r="C15"/>
  <c r="E15" s="1"/>
  <c r="C16"/>
  <c r="E16" s="1"/>
  <c r="C17"/>
  <c r="E17" s="1"/>
  <c r="C18"/>
  <c r="E18" s="1"/>
  <c r="C19"/>
  <c r="E19" s="1"/>
  <c r="C20"/>
  <c r="C21"/>
  <c r="C11"/>
  <c r="G34"/>
  <c r="D34" s="1"/>
  <c r="G33"/>
  <c r="D33" s="1"/>
  <c r="G32"/>
  <c r="D32" s="1"/>
  <c r="G31"/>
  <c r="D31" s="1"/>
  <c r="G30"/>
  <c r="D30" s="1"/>
  <c r="G29"/>
  <c r="D29" s="1"/>
  <c r="G28"/>
  <c r="D28" s="1"/>
  <c r="G27"/>
  <c r="C27" s="1"/>
  <c r="G10"/>
  <c r="G11" s="1"/>
  <c r="G12" s="1"/>
  <c r="G13" s="1"/>
  <c r="G14" s="1"/>
  <c r="B10"/>
  <c r="B11" s="1"/>
  <c r="B12" s="1"/>
  <c r="B13" s="1"/>
  <c r="B14" s="1"/>
  <c r="B15" s="1"/>
  <c r="B16" s="1"/>
  <c r="B17" s="1"/>
  <c r="B18" s="1"/>
  <c r="B19" s="1"/>
  <c r="B20" s="1"/>
  <c r="B21" s="1"/>
  <c r="F11"/>
  <c r="F12"/>
  <c r="F13"/>
  <c r="F14"/>
  <c r="F15"/>
  <c r="F16"/>
  <c r="F17"/>
  <c r="F18"/>
  <c r="F19"/>
  <c r="F20"/>
  <c r="F21"/>
  <c r="F10"/>
  <c r="B40" i="2"/>
  <c r="A3" i="14"/>
  <c r="A2"/>
  <c r="A1"/>
  <c r="I108" i="12"/>
  <c r="I109"/>
  <c r="I110"/>
  <c r="I111"/>
  <c r="I112"/>
  <c r="I113"/>
  <c r="I114"/>
  <c r="I115"/>
  <c r="I116"/>
  <c r="I117"/>
  <c r="I118"/>
  <c r="I119"/>
  <c r="I120"/>
  <c r="I121"/>
  <c r="I122"/>
  <c r="I123"/>
  <c r="G108"/>
  <c r="G109"/>
  <c r="G110"/>
  <c r="D119"/>
  <c r="D120"/>
  <c r="D121"/>
  <c r="D122"/>
  <c r="D123"/>
  <c r="B119"/>
  <c r="B120"/>
  <c r="B121"/>
  <c r="B122"/>
  <c r="B123"/>
  <c r="I107"/>
  <c r="H100"/>
  <c r="H99"/>
  <c r="E90" i="3"/>
  <c r="G65" i="12" s="1"/>
  <c r="E78" i="3"/>
  <c r="F78" s="1"/>
  <c r="H57" i="12" s="1"/>
  <c r="C78" i="3"/>
  <c r="E72"/>
  <c r="F72" s="1"/>
  <c r="C72"/>
  <c r="H36"/>
  <c r="B36"/>
  <c r="H35"/>
  <c r="H34"/>
  <c r="H33"/>
  <c r="B35"/>
  <c r="B34"/>
  <c r="B33"/>
  <c r="I161" i="2"/>
  <c r="I162"/>
  <c r="I158"/>
  <c r="I159"/>
  <c r="I160"/>
  <c r="H157"/>
  <c r="H47" i="3" s="1"/>
  <c r="E29" i="12" s="1"/>
  <c r="C17"/>
  <c r="C16"/>
  <c r="C15"/>
  <c r="W32" i="6"/>
  <c r="F16" i="12" s="1"/>
  <c r="W29" i="6"/>
  <c r="F15" i="12" s="1"/>
  <c r="W26" i="6"/>
  <c r="F14" i="12" s="1"/>
  <c r="A6"/>
  <c r="A5"/>
  <c r="A4"/>
  <c r="E9" i="15"/>
  <c r="F9" s="1"/>
  <c r="G9" s="1"/>
  <c r="E10"/>
  <c r="I10"/>
  <c r="E11"/>
  <c r="I11"/>
  <c r="B45" i="3"/>
  <c r="D18" i="6"/>
  <c r="B55" i="3"/>
  <c r="H28"/>
  <c r="A18" i="11"/>
  <c r="A19"/>
  <c r="A20"/>
  <c r="A21"/>
  <c r="A22"/>
  <c r="A17"/>
  <c r="A10"/>
  <c r="A11"/>
  <c r="A12"/>
  <c r="A13"/>
  <c r="A14"/>
  <c r="A9"/>
  <c r="F124" i="3"/>
  <c r="D111"/>
  <c r="G81" i="12" s="1"/>
  <c r="D103" i="3"/>
  <c r="G75" i="12" s="1"/>
  <c r="D102" i="3"/>
  <c r="G74" i="12" s="1"/>
  <c r="F101" i="3"/>
  <c r="H101" s="1"/>
  <c r="D101"/>
  <c r="G73" i="12" s="1"/>
  <c r="D98" i="3"/>
  <c r="G69" i="12" s="1"/>
  <c r="H102" i="2"/>
  <c r="F98" i="3" s="1"/>
  <c r="G18" i="6"/>
  <c r="H8" i="3" s="1"/>
  <c r="I18" i="6"/>
  <c r="H9" i="3" s="1"/>
  <c r="F18" i="6"/>
  <c r="H12" i="3" s="1"/>
  <c r="J18" i="6"/>
  <c r="H15" i="3" s="1"/>
  <c r="H18"/>
  <c r="H19"/>
  <c r="H21"/>
  <c r="H23"/>
  <c r="H24"/>
  <c r="I5" i="11"/>
  <c r="D9" s="1"/>
  <c r="C9"/>
  <c r="E10" s="1"/>
  <c r="C10"/>
  <c r="C11"/>
  <c r="C12"/>
  <c r="C13"/>
  <c r="C14"/>
  <c r="C17"/>
  <c r="C18"/>
  <c r="C19"/>
  <c r="C20"/>
  <c r="C21"/>
  <c r="M5"/>
  <c r="G9" s="1"/>
  <c r="K9"/>
  <c r="M10" s="1"/>
  <c r="K10"/>
  <c r="K11"/>
  <c r="K12"/>
  <c r="K13"/>
  <c r="K14"/>
  <c r="K17"/>
  <c r="K18"/>
  <c r="K19"/>
  <c r="K20"/>
  <c r="K21"/>
  <c r="K22"/>
  <c r="K18" i="6"/>
  <c r="L18"/>
  <c r="H30" i="3" s="1"/>
  <c r="H31"/>
  <c r="E18" i="6"/>
  <c r="H32" i="3" s="1"/>
  <c r="H13"/>
  <c r="E52" i="9"/>
  <c r="H21" i="10"/>
  <c r="H22"/>
  <c r="E26" i="8"/>
  <c r="E91" i="9" s="1"/>
  <c r="D25" i="8"/>
  <c r="D24" i="10"/>
  <c r="H24" s="1"/>
  <c r="H25"/>
  <c r="D26"/>
  <c r="H26" s="1"/>
  <c r="H111" i="9"/>
  <c r="D27" i="10" s="1"/>
  <c r="H27" s="1"/>
  <c r="H28"/>
  <c r="D29"/>
  <c r="H29" s="1"/>
  <c r="D30"/>
  <c r="H30" s="1"/>
  <c r="H31"/>
  <c r="H32"/>
  <c r="H33"/>
  <c r="W18" i="6"/>
  <c r="F51" i="3" s="1"/>
  <c r="H55"/>
  <c r="E66"/>
  <c r="G62" i="12" s="1"/>
  <c r="Z18" i="6"/>
  <c r="H124" i="2" s="1"/>
  <c r="F67" i="3" s="1"/>
  <c r="E68"/>
  <c r="R18" i="6"/>
  <c r="F100" i="2"/>
  <c r="S18" i="6"/>
  <c r="K23" i="11" s="1"/>
  <c r="E70" i="3"/>
  <c r="G52" i="12" s="1"/>
  <c r="E71" i="3"/>
  <c r="F71" s="1"/>
  <c r="H58" i="12" s="1"/>
  <c r="E73" i="3"/>
  <c r="F73" s="1"/>
  <c r="H55" i="12" s="1"/>
  <c r="E76" i="3"/>
  <c r="G56" i="12" s="1"/>
  <c r="E77" i="3"/>
  <c r="F77" s="1"/>
  <c r="E79"/>
  <c r="F79" s="1"/>
  <c r="E80"/>
  <c r="F80" s="1"/>
  <c r="H60" i="12" s="1"/>
  <c r="E81" i="3"/>
  <c r="G61" i="12" s="1"/>
  <c r="X18" i="6"/>
  <c r="E82" i="3" s="1"/>
  <c r="E83"/>
  <c r="F83" s="1"/>
  <c r="E84"/>
  <c r="F84" s="1"/>
  <c r="E86"/>
  <c r="G64" i="12" s="1"/>
  <c r="E87" i="3"/>
  <c r="F87" s="1"/>
  <c r="E88"/>
  <c r="F88" s="1"/>
  <c r="F95"/>
  <c r="H67" i="12" s="1"/>
  <c r="F110" i="3"/>
  <c r="H80" i="12" s="1"/>
  <c r="T18" i="6"/>
  <c r="U18"/>
  <c r="E56" i="9"/>
  <c r="D81"/>
  <c r="A19" i="8"/>
  <c r="A24" s="1"/>
  <c r="A13"/>
  <c r="A23" s="1"/>
  <c r="A9"/>
  <c r="A10"/>
  <c r="A11"/>
  <c r="A12"/>
  <c r="A14"/>
  <c r="A15"/>
  <c r="A16"/>
  <c r="A17"/>
  <c r="A18"/>
  <c r="A8"/>
  <c r="H114" i="2"/>
  <c r="F107" i="3" s="1"/>
  <c r="D95"/>
  <c r="G67" i="12" s="1"/>
  <c r="D107" i="3"/>
  <c r="G79" i="12" s="1"/>
  <c r="D110" i="3"/>
  <c r="G80" i="12" s="1"/>
  <c r="A2" i="3"/>
  <c r="H4"/>
  <c r="D4"/>
  <c r="F5"/>
  <c r="F125"/>
  <c r="A1" i="5"/>
  <c r="A1" i="3" s="1"/>
  <c r="A1" i="11" s="1"/>
  <c r="E9"/>
  <c r="M9"/>
  <c r="F20" i="10"/>
  <c r="H24" i="8"/>
  <c r="H25" s="1"/>
  <c r="J25"/>
  <c r="L25"/>
  <c r="A2" i="2"/>
  <c r="C176"/>
  <c r="V18" i="6"/>
  <c r="E66" i="9" s="1"/>
  <c r="L3" i="6"/>
  <c r="M4" i="11"/>
  <c r="I4"/>
  <c r="C22"/>
  <c r="H16"/>
  <c r="L16"/>
  <c r="I9"/>
  <c r="L7"/>
  <c r="H7"/>
  <c r="D7"/>
  <c r="C4"/>
  <c r="G51" i="10"/>
  <c r="A1" i="8"/>
  <c r="G4"/>
  <c r="G3"/>
  <c r="C4"/>
  <c r="C3"/>
  <c r="D34" i="10"/>
  <c r="H34" s="1"/>
  <c r="A2" i="9"/>
  <c r="H7"/>
  <c r="H8"/>
  <c r="C9"/>
  <c r="C8"/>
  <c r="C7"/>
  <c r="E60"/>
  <c r="E12" i="15"/>
  <c r="I12"/>
  <c r="E63" i="9"/>
  <c r="E13" i="15"/>
  <c r="I13"/>
  <c r="E14"/>
  <c r="I14"/>
  <c r="E15"/>
  <c r="I15"/>
  <c r="E16"/>
  <c r="I16"/>
  <c r="E17"/>
  <c r="I17"/>
  <c r="E33" i="9"/>
  <c r="E18" i="15"/>
  <c r="I18"/>
  <c r="E19"/>
  <c r="I19"/>
  <c r="E20"/>
  <c r="I20"/>
  <c r="E21"/>
  <c r="I21"/>
  <c r="F111" i="3"/>
  <c r="E67"/>
  <c r="G51" i="12" s="1"/>
  <c r="F99" i="3"/>
  <c r="G111" i="12"/>
  <c r="G112"/>
  <c r="G113"/>
  <c r="G114"/>
  <c r="G115"/>
  <c r="G116"/>
  <c r="G117"/>
  <c r="G118"/>
  <c r="G119"/>
  <c r="G120"/>
  <c r="G121"/>
  <c r="G122"/>
  <c r="G123"/>
  <c r="F36" i="22" l="1"/>
  <c r="F35"/>
  <c r="H36"/>
  <c r="H35"/>
  <c r="D27"/>
  <c r="D29" s="1"/>
  <c r="D30" s="1"/>
  <c r="I8" s="1"/>
  <c r="E20" i="14"/>
  <c r="F18" i="15"/>
  <c r="G18" s="1"/>
  <c r="F94" i="2"/>
  <c r="H56" i="3" s="1"/>
  <c r="I157" i="2"/>
  <c r="H9" i="11"/>
  <c r="E21" i="14"/>
  <c r="G20" i="17"/>
  <c r="G21"/>
  <c r="F11" i="15"/>
  <c r="G11" s="1"/>
  <c r="F13"/>
  <c r="G13" s="1"/>
  <c r="F12"/>
  <c r="G12" s="1"/>
  <c r="H138" i="2"/>
  <c r="K29" i="9"/>
  <c r="K30" s="1"/>
  <c r="N30" s="1"/>
  <c r="H7" i="3"/>
  <c r="F8" i="15"/>
  <c r="G8" s="1"/>
  <c r="H100" i="2"/>
  <c r="F96" i="3" s="1"/>
  <c r="H68" i="12" s="1"/>
  <c r="D96" i="3"/>
  <c r="G68" i="12" s="1"/>
  <c r="C38" i="14"/>
  <c r="E38" s="1"/>
  <c r="F25" i="8"/>
  <c r="I26"/>
  <c r="E92" i="9" s="1"/>
  <c r="O4"/>
  <c r="M4"/>
  <c r="L4"/>
  <c r="E69"/>
  <c r="H83" s="1"/>
  <c r="D20" i="10" s="1"/>
  <c r="H20" s="1"/>
  <c r="H29" i="3"/>
  <c r="H27" i="22"/>
  <c r="F29"/>
  <c r="F30" s="1"/>
  <c r="I7" s="1"/>
  <c r="D39"/>
  <c r="D40" s="1"/>
  <c r="K8" s="1"/>
  <c r="H38"/>
  <c r="F38"/>
  <c r="G9"/>
  <c r="F12" i="2"/>
  <c r="F102" i="3"/>
  <c r="H102" s="1"/>
  <c r="H72" i="12"/>
  <c r="G72"/>
  <c r="F163" i="2"/>
  <c r="F33" i="14"/>
  <c r="C31"/>
  <c r="E31" s="1"/>
  <c r="F31"/>
  <c r="G8" i="17"/>
  <c r="F21" i="15"/>
  <c r="G21" s="1"/>
  <c r="F20"/>
  <c r="G20" s="1"/>
  <c r="F19"/>
  <c r="G19" s="1"/>
  <c r="F17"/>
  <c r="G17" s="1"/>
  <c r="F16"/>
  <c r="G16" s="1"/>
  <c r="F15"/>
  <c r="G15" s="1"/>
  <c r="F14"/>
  <c r="G14" s="1"/>
  <c r="F10"/>
  <c r="G10" s="1"/>
  <c r="G10" i="17"/>
  <c r="G11"/>
  <c r="G12"/>
  <c r="G13"/>
  <c r="G14"/>
  <c r="G15"/>
  <c r="G17"/>
  <c r="G18"/>
  <c r="F86" i="3"/>
  <c r="H64" i="12" s="1"/>
  <c r="F66" i="3"/>
  <c r="H62" i="12" s="1"/>
  <c r="D37" i="14"/>
  <c r="K26" i="8"/>
  <c r="E93" i="9" s="1"/>
  <c r="F111" i="2"/>
  <c r="H111" s="1"/>
  <c r="D35" i="14"/>
  <c r="F90" i="3"/>
  <c r="H65" i="12" s="1"/>
  <c r="C28" i="14"/>
  <c r="E28" s="1"/>
  <c r="F28"/>
  <c r="G58" i="12"/>
  <c r="G57"/>
  <c r="M26" i="8"/>
  <c r="E94" i="9" s="1"/>
  <c r="Y29" i="6"/>
  <c r="H15" i="12" s="1"/>
  <c r="Y32" i="6"/>
  <c r="H16" i="12" s="1"/>
  <c r="Y26" i="6"/>
  <c r="H14" i="12" s="1"/>
  <c r="Y35" i="6"/>
  <c r="H17" i="12" s="1"/>
  <c r="D11" i="11"/>
  <c r="F22" i="14"/>
  <c r="N15" s="1"/>
  <c r="H110" i="3"/>
  <c r="F81"/>
  <c r="H61" i="12" s="1"/>
  <c r="D36" i="14"/>
  <c r="E36" s="1"/>
  <c r="G18" i="11"/>
  <c r="F36" i="14"/>
  <c r="C23" i="11"/>
  <c r="D10"/>
  <c r="F10" s="1"/>
  <c r="L12"/>
  <c r="F19" i="10"/>
  <c r="F35" s="1"/>
  <c r="E69" i="3"/>
  <c r="F68" s="1"/>
  <c r="H50" i="12" s="1"/>
  <c r="F52" i="3"/>
  <c r="H53" s="1"/>
  <c r="H103"/>
  <c r="B25" i="8"/>
  <c r="M12" i="11"/>
  <c r="H73" i="12"/>
  <c r="C37" i="14"/>
  <c r="M11" i="11"/>
  <c r="J17" i="14"/>
  <c r="K5" i="9"/>
  <c r="G23" i="11"/>
  <c r="F76" i="3"/>
  <c r="H56" i="12" s="1"/>
  <c r="F29" i="14"/>
  <c r="C33"/>
  <c r="E33" s="1"/>
  <c r="F27"/>
  <c r="C35"/>
  <c r="H79" i="12"/>
  <c r="H107" i="3"/>
  <c r="E11" i="14"/>
  <c r="D22"/>
  <c r="G63" i="12"/>
  <c r="F82" i="3"/>
  <c r="H63" i="12" s="1"/>
  <c r="G37"/>
  <c r="D14" i="11"/>
  <c r="G16" i="17"/>
  <c r="G9"/>
  <c r="C20" i="8"/>
  <c r="E13" i="11"/>
  <c r="M13"/>
  <c r="C22" i="14"/>
  <c r="L9" i="11"/>
  <c r="N9" s="1"/>
  <c r="G55" i="12"/>
  <c r="C32" i="14"/>
  <c r="E32" s="1"/>
  <c r="G14" i="11"/>
  <c r="G22"/>
  <c r="L13"/>
  <c r="G60" i="12"/>
  <c r="G10" i="11"/>
  <c r="H11" s="1"/>
  <c r="F34" i="14"/>
  <c r="K15" i="11"/>
  <c r="L21" s="1"/>
  <c r="E12"/>
  <c r="F23" i="2"/>
  <c r="F9" i="11"/>
  <c r="J9" s="1"/>
  <c r="H57" i="3"/>
  <c r="E42" i="12" s="1"/>
  <c r="C15" i="11"/>
  <c r="D12"/>
  <c r="E14"/>
  <c r="M14"/>
  <c r="B27" i="14"/>
  <c r="L10" i="11"/>
  <c r="N10" s="1"/>
  <c r="F30" i="14"/>
  <c r="L14" i="11"/>
  <c r="N4" i="9"/>
  <c r="E10" i="14"/>
  <c r="C34"/>
  <c r="E34" s="1"/>
  <c r="C30"/>
  <c r="E30" s="1"/>
  <c r="F32"/>
  <c r="G12" i="11"/>
  <c r="G17"/>
  <c r="G20"/>
  <c r="G19"/>
  <c r="C29" i="14"/>
  <c r="E29" s="1"/>
  <c r="L11" i="11"/>
  <c r="G39" i="14"/>
  <c r="N28" s="1"/>
  <c r="D13" i="11"/>
  <c r="F70" i="3"/>
  <c r="H52" i="12" s="1"/>
  <c r="E11" i="11"/>
  <c r="G11"/>
  <c r="G13"/>
  <c r="G21"/>
  <c r="F38" i="14"/>
  <c r="D27"/>
  <c r="H111" i="3"/>
  <c r="H81" i="12"/>
  <c r="E30" i="9"/>
  <c r="E32" s="1"/>
  <c r="I10" i="11"/>
  <c r="H10"/>
  <c r="G15" i="14"/>
  <c r="G16" s="1"/>
  <c r="G17" s="1"/>
  <c r="G18" s="1"/>
  <c r="G19" s="1"/>
  <c r="G20" s="1"/>
  <c r="G21" s="1"/>
  <c r="H70" i="12"/>
  <c r="H99" i="3"/>
  <c r="H51" i="12"/>
  <c r="H98" i="3"/>
  <c r="H69" i="12"/>
  <c r="M8" i="22" l="1"/>
  <c r="H29"/>
  <c r="H30" s="1"/>
  <c r="I6" s="1"/>
  <c r="I9" s="1"/>
  <c r="D105" i="3"/>
  <c r="G77" i="12" s="1"/>
  <c r="F105" i="3"/>
  <c r="G36" i="12"/>
  <c r="N29" i="9"/>
  <c r="L29"/>
  <c r="K31"/>
  <c r="O29"/>
  <c r="M29"/>
  <c r="F104" i="3"/>
  <c r="H104" s="1"/>
  <c r="D104"/>
  <c r="G76" i="12" s="1"/>
  <c r="M19" i="11"/>
  <c r="G26" i="8"/>
  <c r="E95" i="9" s="1"/>
  <c r="O30"/>
  <c r="O5"/>
  <c r="M5"/>
  <c r="L5"/>
  <c r="M30"/>
  <c r="L30"/>
  <c r="E37" i="14"/>
  <c r="L23" i="11"/>
  <c r="H100" i="3"/>
  <c r="F37" i="22"/>
  <c r="F39" s="1"/>
  <c r="F40" s="1"/>
  <c r="K7" s="1"/>
  <c r="M7" s="1"/>
  <c r="H37"/>
  <c r="H39" s="1"/>
  <c r="I13" i="11"/>
  <c r="H74" i="12"/>
  <c r="G22" i="15"/>
  <c r="F78" i="2" s="1"/>
  <c r="G22" i="17"/>
  <c r="F77" i="2" s="1"/>
  <c r="E74" i="3" s="1"/>
  <c r="M17" i="11"/>
  <c r="L22"/>
  <c r="M21"/>
  <c r="N21" s="1"/>
  <c r="L18"/>
  <c r="C26" i="8"/>
  <c r="N11" i="11"/>
  <c r="N14"/>
  <c r="M23"/>
  <c r="G50" i="12"/>
  <c r="N12" i="11"/>
  <c r="I11"/>
  <c r="J11" s="1"/>
  <c r="I12"/>
  <c r="I14"/>
  <c r="F14"/>
  <c r="N5" i="9"/>
  <c r="E35" i="14"/>
  <c r="H18" i="12"/>
  <c r="Y38" i="6"/>
  <c r="K6" i="9"/>
  <c r="D39" i="14"/>
  <c r="M20" i="11"/>
  <c r="M18"/>
  <c r="L20"/>
  <c r="K24"/>
  <c r="H13"/>
  <c r="H12"/>
  <c r="L19"/>
  <c r="L17"/>
  <c r="M22"/>
  <c r="H14"/>
  <c r="E15"/>
  <c r="F13"/>
  <c r="M15"/>
  <c r="F12"/>
  <c r="E22" i="14"/>
  <c r="N12" s="1"/>
  <c r="G15" i="11"/>
  <c r="H20" s="1"/>
  <c r="N13"/>
  <c r="C39" i="14"/>
  <c r="F39"/>
  <c r="N32" s="1"/>
  <c r="E44" i="3" s="1"/>
  <c r="B28" i="14"/>
  <c r="B29" s="1"/>
  <c r="B30" s="1"/>
  <c r="B31" s="1"/>
  <c r="B32" s="1"/>
  <c r="B33" s="1"/>
  <c r="B34" s="1"/>
  <c r="B35" s="1"/>
  <c r="B36" s="1"/>
  <c r="B37" s="1"/>
  <c r="B38" s="1"/>
  <c r="J34"/>
  <c r="D22" i="11"/>
  <c r="E22"/>
  <c r="D18"/>
  <c r="E19"/>
  <c r="E18"/>
  <c r="D19"/>
  <c r="C24"/>
  <c r="D20"/>
  <c r="E21"/>
  <c r="E17"/>
  <c r="E20"/>
  <c r="D17"/>
  <c r="D21"/>
  <c r="E27" i="14"/>
  <c r="F11" i="11"/>
  <c r="L15"/>
  <c r="D15"/>
  <c r="G22" i="14"/>
  <c r="N11" s="1"/>
  <c r="E41" i="3" s="1"/>
  <c r="J10" i="11"/>
  <c r="G71" i="12" l="1"/>
  <c r="N17" i="11"/>
  <c r="H105" i="3"/>
  <c r="H77" i="12"/>
  <c r="N22" i="11"/>
  <c r="O31" i="9"/>
  <c r="M31"/>
  <c r="L31"/>
  <c r="N31"/>
  <c r="N19" i="11"/>
  <c r="H76" i="12"/>
  <c r="H132" i="2"/>
  <c r="E75" i="3" s="1"/>
  <c r="F75" s="1"/>
  <c r="H53" i="12" s="1"/>
  <c r="H131" i="2"/>
  <c r="N26" i="8"/>
  <c r="K32" i="9"/>
  <c r="O32" s="1"/>
  <c r="J12" i="11"/>
  <c r="F21"/>
  <c r="I19"/>
  <c r="L24"/>
  <c r="M6" i="9"/>
  <c r="L6"/>
  <c r="N23" i="11"/>
  <c r="I15"/>
  <c r="M24"/>
  <c r="E34" i="9"/>
  <c r="E35"/>
  <c r="E36" s="1"/>
  <c r="N17" i="14"/>
  <c r="J14" i="11"/>
  <c r="N18"/>
  <c r="H40" i="22"/>
  <c r="K6" s="1"/>
  <c r="E90" i="9"/>
  <c r="E96" s="1"/>
  <c r="H88" s="1"/>
  <c r="J13" i="11"/>
  <c r="E39" i="14"/>
  <c r="I20" i="11"/>
  <c r="J20" s="1"/>
  <c r="I18"/>
  <c r="H18"/>
  <c r="I23"/>
  <c r="N15"/>
  <c r="N20"/>
  <c r="G24"/>
  <c r="H19"/>
  <c r="N6" i="9"/>
  <c r="H15" i="11"/>
  <c r="F19"/>
  <c r="O6" i="9"/>
  <c r="F15" i="11"/>
  <c r="K7" i="9"/>
  <c r="I17" i="11"/>
  <c r="H17"/>
  <c r="I21"/>
  <c r="H23"/>
  <c r="H22"/>
  <c r="H21"/>
  <c r="I22"/>
  <c r="H58" i="3"/>
  <c r="E43" i="12" s="1"/>
  <c r="H45" s="1"/>
  <c r="F20" i="11"/>
  <c r="E23"/>
  <c r="E24" s="1"/>
  <c r="F18"/>
  <c r="F22"/>
  <c r="F17"/>
  <c r="D23"/>
  <c r="D24" s="1"/>
  <c r="G54" i="12"/>
  <c r="F74" i="3"/>
  <c r="N13" i="14"/>
  <c r="H71" i="12" l="1"/>
  <c r="I71" s="1"/>
  <c r="G53"/>
  <c r="G49" s="1"/>
  <c r="G48" s="1"/>
  <c r="M32" i="9"/>
  <c r="F91" i="3"/>
  <c r="E91"/>
  <c r="D94" s="1"/>
  <c r="D93" s="1"/>
  <c r="J15" i="11"/>
  <c r="J19"/>
  <c r="K33" i="9"/>
  <c r="K34" s="1"/>
  <c r="N34" s="1"/>
  <c r="N32"/>
  <c r="L32"/>
  <c r="N19" i="14"/>
  <c r="N24" i="11"/>
  <c r="K8" i="9"/>
  <c r="M7"/>
  <c r="L7"/>
  <c r="I24" i="11"/>
  <c r="J23"/>
  <c r="K9" i="22"/>
  <c r="M6"/>
  <c r="M9" s="1"/>
  <c r="H39" i="21" s="1"/>
  <c r="D23" i="10"/>
  <c r="J18" i="11"/>
  <c r="N29" i="14"/>
  <c r="N34"/>
  <c r="E45" i="3" s="1"/>
  <c r="J17" i="11"/>
  <c r="J21"/>
  <c r="H54" i="3"/>
  <c r="O7" i="9"/>
  <c r="N7"/>
  <c r="H24" i="11"/>
  <c r="J22"/>
  <c r="F23"/>
  <c r="F24" s="1"/>
  <c r="H54" i="12"/>
  <c r="N8" i="9" l="1"/>
  <c r="O8"/>
  <c r="J24" i="11"/>
  <c r="E26" s="1"/>
  <c r="H27" i="3" s="1"/>
  <c r="N30" i="14"/>
  <c r="N36" s="1"/>
  <c r="E42" i="3"/>
  <c r="E43" s="1"/>
  <c r="H46" s="1"/>
  <c r="K35" i="9"/>
  <c r="M35" s="1"/>
  <c r="O33"/>
  <c r="L34"/>
  <c r="L33"/>
  <c r="M34"/>
  <c r="M33"/>
  <c r="O34"/>
  <c r="N33"/>
  <c r="M8"/>
  <c r="L8"/>
  <c r="K9"/>
  <c r="O9" s="1"/>
  <c r="H23" i="10"/>
  <c r="H63" i="3"/>
  <c r="H49" i="12"/>
  <c r="F94" i="3"/>
  <c r="F93" s="1"/>
  <c r="H93" s="1"/>
  <c r="E28" i="12" l="1"/>
  <c r="H32" s="1"/>
  <c r="H48" i="3"/>
  <c r="L35" i="9"/>
  <c r="O35"/>
  <c r="K36"/>
  <c r="M36" s="1"/>
  <c r="N35"/>
  <c r="N9"/>
  <c r="K10"/>
  <c r="M9"/>
  <c r="L9"/>
  <c r="H48" i="12"/>
  <c r="L36" i="9" l="1"/>
  <c r="O36"/>
  <c r="K37"/>
  <c r="K38" s="1"/>
  <c r="K39" s="1"/>
  <c r="N36"/>
  <c r="M10"/>
  <c r="L10"/>
  <c r="N10"/>
  <c r="K11"/>
  <c r="O10"/>
  <c r="H112" i="3"/>
  <c r="I48" i="12"/>
  <c r="I82" s="1"/>
  <c r="O37" i="9" l="1"/>
  <c r="M37"/>
  <c r="N37"/>
  <c r="L37"/>
  <c r="K40"/>
  <c r="M39"/>
  <c r="L39"/>
  <c r="O39"/>
  <c r="N39"/>
  <c r="N38"/>
  <c r="M38"/>
  <c r="L38"/>
  <c r="O38"/>
  <c r="N11"/>
  <c r="M11"/>
  <c r="L11"/>
  <c r="O11"/>
  <c r="K12"/>
  <c r="O12" l="1"/>
  <c r="M12"/>
  <c r="L12"/>
  <c r="N12"/>
  <c r="K13"/>
  <c r="K14" s="1"/>
  <c r="K41"/>
  <c r="M40"/>
  <c r="M41" s="1"/>
  <c r="L40"/>
  <c r="L41" s="1"/>
  <c r="O40"/>
  <c r="O41" s="1"/>
  <c r="N40"/>
  <c r="N41" s="1"/>
  <c r="K15" l="1"/>
  <c r="O14"/>
  <c r="N14"/>
  <c r="M14"/>
  <c r="L14"/>
  <c r="M13"/>
  <c r="L13"/>
  <c r="O13"/>
  <c r="N13"/>
  <c r="K16" l="1"/>
  <c r="L15"/>
  <c r="L16" s="1"/>
  <c r="E12" s="1"/>
  <c r="M15"/>
  <c r="M16" s="1"/>
  <c r="N15"/>
  <c r="N16" s="1"/>
  <c r="E22" s="1"/>
  <c r="O15"/>
  <c r="O16" s="1"/>
  <c r="E24" s="1"/>
  <c r="E16" l="1"/>
  <c r="E20" s="1"/>
  <c r="E45" l="1"/>
  <c r="H112" s="1"/>
  <c r="E25"/>
  <c r="D19" i="10" l="1"/>
  <c r="D35" s="1"/>
  <c r="G23" i="12" s="1"/>
  <c r="H19" i="10" l="1"/>
  <c r="H35" s="1"/>
  <c r="H37" i="3" s="1"/>
  <c r="H38" s="1"/>
  <c r="G22" i="12" s="1"/>
  <c r="H49" i="3" l="1"/>
  <c r="H61" s="1"/>
  <c r="E14" i="10"/>
  <c r="H25" i="12"/>
  <c r="H33" s="1"/>
  <c r="G35" l="1"/>
  <c r="H38" s="1"/>
  <c r="I39" s="1"/>
  <c r="I46" s="1"/>
  <c r="I83" s="1"/>
  <c r="H60" i="3"/>
  <c r="H113" l="1"/>
  <c r="H117" l="1"/>
  <c r="M129"/>
  <c r="M130" s="1"/>
  <c r="H114" s="1"/>
  <c r="I85" i="12" s="1"/>
  <c r="N117" i="3"/>
  <c r="N118" s="1"/>
  <c r="N119" s="1"/>
  <c r="N121" s="1"/>
  <c r="D44" i="22"/>
  <c r="D48" s="1"/>
  <c r="O117" i="3"/>
  <c r="O118" s="1"/>
  <c r="O119" s="1"/>
  <c r="O121" s="1"/>
  <c r="M117"/>
  <c r="M118" s="1"/>
  <c r="I84" i="12" l="1"/>
  <c r="I86" s="1"/>
  <c r="M119" i="3"/>
  <c r="M121" s="1"/>
  <c r="H33" i="21"/>
  <c r="H35" s="1"/>
  <c r="D46" i="22"/>
  <c r="D47" s="1"/>
  <c r="D49" s="1"/>
  <c r="F44"/>
  <c r="F48" s="1"/>
  <c r="H116" i="3"/>
  <c r="H118" s="1"/>
  <c r="I87" i="12" s="1"/>
  <c r="Y18" i="6"/>
  <c r="H121" i="3" s="1"/>
  <c r="D37" i="6"/>
  <c r="W35"/>
  <c r="F46" i="22" l="1"/>
  <c r="F47" s="1"/>
  <c r="F49" s="1"/>
  <c r="I88" i="12"/>
  <c r="D50" i="22"/>
  <c r="H37" i="21" s="1"/>
  <c r="H119" i="3"/>
  <c r="D43" i="6"/>
  <c r="B118" i="12"/>
  <c r="B124" s="1"/>
  <c r="A94" s="1"/>
  <c r="E38" i="10"/>
  <c r="E40" s="1"/>
  <c r="I91" i="12"/>
  <c r="F17"/>
  <c r="F18" s="1"/>
  <c r="W38" i="6"/>
  <c r="F50" i="22" l="1"/>
  <c r="H36" i="21" s="1"/>
  <c r="H38" s="1"/>
  <c r="H40" s="1"/>
  <c r="H120" i="3" s="1"/>
  <c r="I89" i="12" s="1"/>
  <c r="I90" s="1"/>
  <c r="I92" s="1"/>
  <c r="B92" s="1"/>
  <c r="H122" i="3" l="1"/>
  <c r="B122" s="1"/>
</calcChain>
</file>

<file path=xl/comments1.xml><?xml version="1.0" encoding="utf-8"?>
<comments xmlns="http://schemas.openxmlformats.org/spreadsheetml/2006/main">
  <authors>
    <author>O.D.KAMALAKANNAN</author>
  </authors>
  <commentList>
    <comment ref="C5" authorId="0">
      <text>
        <r>
          <rPr>
            <b/>
            <sz val="8"/>
            <color indexed="81"/>
            <rFont val="Tahoma"/>
            <family val="2"/>
          </rPr>
          <t>PAN: It is compulsory to furnish the PAN number.</t>
        </r>
        <r>
          <rPr>
            <sz val="8"/>
            <color indexed="81"/>
            <rFont val="Tahoma"/>
            <family val="2"/>
          </rPr>
          <t xml:space="preserve">
</t>
        </r>
      </text>
    </comment>
    <comment ref="A49" authorId="0">
      <text>
        <r>
          <rPr>
            <b/>
            <sz val="8"/>
            <color indexed="81"/>
            <rFont val="Tahoma"/>
            <family val="2"/>
          </rPr>
          <t xml:space="preserve">Sec 80 D: Ceiling on 80D increased from 10000 to 15000 and for Senior citizens from 15000 to 20000
</t>
        </r>
        <r>
          <rPr>
            <sz val="8"/>
            <color indexed="81"/>
            <rFont val="Tahoma"/>
            <family val="2"/>
          </rPr>
          <t xml:space="preserve">
</t>
        </r>
      </text>
    </comment>
    <comment ref="A53" authorId="0">
      <text>
        <r>
          <rPr>
            <sz val="8"/>
            <color indexed="81"/>
            <rFont val="Tahoma"/>
            <family val="2"/>
          </rPr>
          <t xml:space="preserve">Under Finance Act 2007, it has been provided that  relative shall mean Children, Spouse also. 
</t>
        </r>
      </text>
    </comment>
  </commentList>
</comments>
</file>

<file path=xl/comments2.xml><?xml version="1.0" encoding="utf-8"?>
<comments xmlns="http://schemas.openxmlformats.org/spreadsheetml/2006/main">
  <authors>
    <author>Kamalakannan</author>
    <author>ESTABLISHMENT</author>
    <author>O.D.KAMALAKANNAN</author>
    <author>ampd2_gmochn</author>
    <author>O.D.Kamalakannan</author>
    <author>O.D.KAMALA KANNAN</author>
    <author>GMOADMIN_GMOCHN</author>
  </authors>
  <commentList>
    <comment ref="D5" authorId="0">
      <text>
        <r>
          <rPr>
            <b/>
            <sz val="8"/>
            <color indexed="81"/>
            <rFont val="Tahoma"/>
            <family val="2"/>
          </rPr>
          <t xml:space="preserve">Labels:
</t>
        </r>
        <r>
          <rPr>
            <sz val="8"/>
            <color indexed="81"/>
            <rFont val="Tahoma"/>
            <family val="2"/>
          </rPr>
          <t xml:space="preserve">Green colour cells cannot be changed / edited /modified.
</t>
        </r>
      </text>
    </comment>
    <comment ref="F5" authorId="0">
      <text>
        <r>
          <rPr>
            <sz val="8"/>
            <color indexed="81"/>
            <rFont val="Tahoma"/>
            <family val="2"/>
          </rPr>
          <t xml:space="preserve">Calculated Fields:
Red Colour Cells cannot be edited/modified here.
</t>
        </r>
      </text>
    </comment>
    <comment ref="H5" authorId="0">
      <text>
        <r>
          <rPr>
            <sz val="8"/>
            <color indexed="81"/>
            <rFont val="Tahoma"/>
            <family val="2"/>
          </rPr>
          <t xml:space="preserve">Drop Down Lists:
Yellow coloured cells indicate drop down lists to select Options.
</t>
        </r>
      </text>
    </comment>
    <comment ref="F8" authorId="1">
      <text>
        <r>
          <rPr>
            <sz val="8"/>
            <color indexed="81"/>
            <rFont val="Tahoma"/>
            <family val="2"/>
          </rPr>
          <t xml:space="preserve">PF Number:
Enter PF Number
</t>
        </r>
      </text>
    </comment>
    <comment ref="F10" authorId="1">
      <text>
        <r>
          <rPr>
            <b/>
            <sz val="8"/>
            <color indexed="81"/>
            <rFont val="Tahoma"/>
            <family val="2"/>
          </rPr>
          <t xml:space="preserve">Enter "Male" or "Female"
</t>
        </r>
      </text>
    </comment>
    <comment ref="F13" authorId="2">
      <text>
        <r>
          <rPr>
            <sz val="8"/>
            <color indexed="81"/>
            <rFont val="Tahoma"/>
            <family val="2"/>
          </rPr>
          <t xml:space="preserve">This information is required for deduction U/s 80C
</t>
        </r>
      </text>
    </comment>
    <comment ref="F39" authorId="1">
      <text>
        <r>
          <rPr>
            <sz val="8"/>
            <color indexed="81"/>
            <rFont val="Tahoma"/>
            <family val="2"/>
          </rPr>
          <t xml:space="preserve">State whether HRA exemption is sought by producing  Rent receipt </t>
        </r>
      </text>
    </comment>
    <comment ref="F47" authorId="0">
      <text>
        <r>
          <rPr>
            <sz val="8"/>
            <color indexed="81"/>
            <rFont val="Tahoma"/>
            <family val="2"/>
          </rPr>
          <t xml:space="preserve">Educational Allowance:
Educational Allowance to children not paid in Banks.  Only reimbursement of expenses is made. Hence, do not furnish the reimbursement of Educational expenses.
</t>
        </r>
      </text>
    </comment>
    <comment ref="F49" authorId="0">
      <text>
        <r>
          <rPr>
            <b/>
            <sz val="8"/>
            <color indexed="81"/>
            <rFont val="Tahoma"/>
            <family val="2"/>
          </rPr>
          <t>Entertainment Allowance:</t>
        </r>
        <r>
          <rPr>
            <sz val="8"/>
            <color indexed="81"/>
            <rFont val="Tahoma"/>
            <family val="2"/>
          </rPr>
          <t xml:space="preserve">
Pls note Entertainment Allowance is not paid in Bank. It is only Entertainment expense that is being reimbursed by the Bank.</t>
        </r>
      </text>
    </comment>
    <comment ref="G50" authorId="0">
      <text>
        <r>
          <rPr>
            <b/>
            <sz val="8"/>
            <color indexed="81"/>
            <rFont val="Tahoma"/>
            <family val="2"/>
          </rPr>
          <t>Period of stay at Bank's own quarters:</t>
        </r>
        <r>
          <rPr>
            <sz val="8"/>
            <color indexed="81"/>
            <rFont val="Tahoma"/>
            <family val="2"/>
          </rPr>
          <t xml:space="preserve">
Pls furnish the period of stay during the financial year 2012-13. </t>
        </r>
      </text>
    </comment>
    <comment ref="B52" authorId="3">
      <text>
        <r>
          <rPr>
            <sz val="8"/>
            <color indexed="81"/>
            <rFont val="Tahoma"/>
            <family val="2"/>
          </rPr>
          <t>Ensure Population Density by visiting the site, "www.censusindia.gov.in". Use Population finder facility in the webpage</t>
        </r>
      </text>
    </comment>
    <comment ref="F79" authorId="2">
      <text>
        <r>
          <rPr>
            <sz val="8"/>
            <color indexed="81"/>
            <rFont val="Tahoma"/>
            <family val="2"/>
          </rPr>
          <t xml:space="preserve">State "Yes" if owned. Else "No"
</t>
        </r>
      </text>
    </comment>
    <comment ref="F80" authorId="2">
      <text>
        <r>
          <rPr>
            <b/>
            <sz val="8"/>
            <color indexed="81"/>
            <rFont val="Tahoma"/>
            <family val="2"/>
          </rPr>
          <t>Relief u/s Sec 24 for Interest on Housing Loan is Rs.30,000 for loans availed prior to 01/04/99 and Rs.1,50,000 for loans availed on or after 01/04/99.
If capital is borrowed for reconstruction, repairs or renewals of a house property then the maximum deduction on account of interest paid isRs.30,000 only and not Rs.1,50,000.
Please note that instalments towards repayment of Housing Loan availed for repairs / renovation / addition / alteration is not eligible for rebate u/s 80C.
Employees claiming deduction for repayment of housing loan for the first time during this year should submit completion certificate from Municipality or approved architect and possession / occupation Certificate issued by the builder / seller.
Co borrowers of Housing loan can claim deduction forrepayment as well as interest separately in proportion to their share in the property provided their shares in the property are definite and ascertainable.</t>
        </r>
        <r>
          <rPr>
            <sz val="8"/>
            <color indexed="81"/>
            <rFont val="Tahoma"/>
            <family val="2"/>
          </rPr>
          <t xml:space="preserve">
</t>
        </r>
      </text>
    </comment>
    <comment ref="F85" authorId="0">
      <text>
        <r>
          <rPr>
            <sz val="8"/>
            <color indexed="81"/>
            <rFont val="Tahoma"/>
            <family val="2"/>
          </rPr>
          <t xml:space="preserve">If Option is "Yes", fill in Loan sanction date, Loan amount and Property value in Cell ref # F87,F88 and F89 resply
</t>
        </r>
      </text>
    </comment>
    <comment ref="B87" authorId="0">
      <text>
        <r>
          <rPr>
            <sz val="8"/>
            <color indexed="81"/>
            <rFont val="Tahoma"/>
            <family val="2"/>
          </rPr>
          <t xml:space="preserve">Sec 80EE: Those who have availed Housing Loan during 2013-2014 to enter the following details.
</t>
        </r>
      </text>
    </comment>
    <comment ref="F95" authorId="1">
      <text>
        <r>
          <rPr>
            <b/>
            <sz val="8"/>
            <color indexed="10"/>
            <rFont val="Tahoma"/>
            <family val="2"/>
          </rPr>
          <t>Calculated cell. Do not enter any values</t>
        </r>
        <r>
          <rPr>
            <sz val="8"/>
            <color indexed="81"/>
            <rFont val="Tahoma"/>
            <family val="2"/>
          </rPr>
          <t xml:space="preserve">
</t>
        </r>
      </text>
    </comment>
    <comment ref="A99" authorId="1">
      <text>
        <r>
          <rPr>
            <b/>
            <sz val="8"/>
            <color indexed="81"/>
            <rFont val="Tahoma"/>
            <family val="2"/>
          </rPr>
          <t xml:space="preserve">Annuity Plan or other Insurance Companies or Jeevan Suraksha Policy of LIC of India.
</t>
        </r>
      </text>
    </comment>
    <comment ref="H99" authorId="1">
      <text>
        <r>
          <rPr>
            <b/>
            <sz val="8"/>
            <color indexed="81"/>
            <rFont val="Tahoma"/>
            <family val="2"/>
          </rPr>
          <t>Maximum Qualifying deduction u/s 80CCC is Rs.1,50,000</t>
        </r>
        <r>
          <rPr>
            <sz val="8"/>
            <color indexed="81"/>
            <rFont val="Tahoma"/>
            <family val="2"/>
          </rPr>
          <t xml:space="preserve">
</t>
        </r>
      </text>
    </comment>
    <comment ref="A100" authorId="4">
      <text>
        <r>
          <rPr>
            <sz val="8"/>
            <color indexed="81"/>
            <rFont val="Tahoma"/>
            <family val="2"/>
          </rPr>
          <t xml:space="preserve">80CCD - New:
Contribution to Central Government Pension / New Pension Scheme. Upto 10% of Salary with matching contribution from Government.
</t>
        </r>
      </text>
    </comment>
    <comment ref="A102" authorId="4">
      <text>
        <r>
          <rPr>
            <sz val="8"/>
            <color indexed="81"/>
            <rFont val="Tahoma"/>
            <family val="2"/>
          </rPr>
          <t xml:space="preserve">Maximum Deduction allowable: 20,000. Over and above the limit of Rs.1,00,000 shown in 80C, 80CCC,80CCD.
</t>
        </r>
      </text>
    </comment>
    <comment ref="A104" authorId="1">
      <text>
        <r>
          <rPr>
            <b/>
            <sz val="8"/>
            <color indexed="81"/>
            <rFont val="Tahoma"/>
            <family val="2"/>
          </rPr>
          <t>GIC Medical Insurance Claim or Medicclaim or similar such investments</t>
        </r>
        <r>
          <rPr>
            <sz val="8"/>
            <color indexed="81"/>
            <rFont val="Tahoma"/>
            <family val="2"/>
          </rPr>
          <t xml:space="preserve">
</t>
        </r>
      </text>
    </comment>
    <comment ref="H104" authorId="1">
      <text>
        <r>
          <rPr>
            <sz val="8"/>
            <color indexed="81"/>
            <rFont val="Tahoma"/>
            <family val="2"/>
          </rPr>
          <t xml:space="preserve">An additional deduction of Rs.50000 (if the parent is a senior citizen/very senior Citizen) is to be allowed for mediclaim insurance premium paid for one's parent.  As this is a additional deduction, the tax payer would be able to claim a total deduction of upto Rs.75,000 (including the existing limit of Rs.25,000 for his own medical premium).   </t>
        </r>
      </text>
    </comment>
    <comment ref="F108" authorId="1">
      <text>
        <r>
          <rPr>
            <b/>
            <sz val="8"/>
            <color indexed="81"/>
            <rFont val="Tahoma"/>
            <family val="2"/>
          </rPr>
          <t>Enter rent paid per month, eg: 1800</t>
        </r>
        <r>
          <rPr>
            <sz val="8"/>
            <color indexed="81"/>
            <rFont val="Tahoma"/>
            <family val="2"/>
          </rPr>
          <t xml:space="preserve">
</t>
        </r>
      </text>
    </comment>
    <comment ref="H108" authorId="1">
      <text>
        <r>
          <rPr>
            <b/>
            <sz val="8"/>
            <color indexed="81"/>
            <rFont val="Tahoma"/>
            <family val="2"/>
          </rPr>
          <t>Least of the following:
1) Rent paid in excess of 10% of Gross Total Income - Deductions under Chapter VIA</t>
        </r>
        <r>
          <rPr>
            <sz val="8"/>
            <color indexed="81"/>
            <rFont val="Tahoma"/>
            <family val="2"/>
          </rPr>
          <t xml:space="preserve">
</t>
        </r>
        <r>
          <rPr>
            <b/>
            <sz val="8"/>
            <color indexed="81"/>
            <rFont val="Tahoma"/>
            <family val="2"/>
          </rPr>
          <t>2) 25% of Total Income.
3) Ceiling amount of Rs.5000 per month x 12 months</t>
        </r>
        <r>
          <rPr>
            <sz val="8"/>
            <color indexed="81"/>
            <rFont val="Tahoma"/>
            <family val="2"/>
          </rPr>
          <t xml:space="preserve">
</t>
        </r>
      </text>
    </comment>
    <comment ref="F109" authorId="1">
      <text>
        <r>
          <rPr>
            <sz val="8"/>
            <color indexed="81"/>
            <rFont val="Tahoma"/>
            <family val="2"/>
          </rPr>
          <t xml:space="preserve">Expenditure incurred for medical treatment of specified diseases for self, dependent relative or member of of HUF or dependent relative of member of HUF.  
</t>
        </r>
        <r>
          <rPr>
            <b/>
            <sz val="8"/>
            <color indexed="81"/>
            <rFont val="Tahoma"/>
            <family val="2"/>
          </rPr>
          <t>Diseases as per Rule 11 DD:</t>
        </r>
        <r>
          <rPr>
            <sz val="8"/>
            <color indexed="81"/>
            <rFont val="Tahoma"/>
            <family val="2"/>
          </rPr>
          <t xml:space="preserve">
a) Neurological diseases    b) Cancer   c) AIDS; D) Chronic Renal failure; e) Haemophilia; f) Thalassaemia.
</t>
        </r>
        <r>
          <rPr>
            <b/>
            <sz val="8"/>
            <color indexed="81"/>
            <rFont val="Tahoma"/>
            <family val="2"/>
          </rPr>
          <t>Amount of deduction:</t>
        </r>
        <r>
          <rPr>
            <sz val="8"/>
            <color indexed="81"/>
            <rFont val="Tahoma"/>
            <family val="2"/>
          </rPr>
          <t xml:space="preserve">
a) Senior Citizens/Very Senior Citizens: 1,00,000
Persons other than (a): 40,000.
Prescribed certificate from a specialist working in Government Hospital u/s DDB has been withdrawn.  Instead, a prescription for such medical treatment from a Neurologist / Oncologist / Urologist / Haematologist / Immunologist / other precribed specialist.  
Such Certificate shall be furnished along with the Return of Income U/s 39.</t>
        </r>
      </text>
    </comment>
    <comment ref="H109" authorId="1">
      <text>
        <r>
          <rPr>
            <i/>
            <sz val="10"/>
            <color indexed="81"/>
            <rFont val="Tahoma"/>
            <family val="2"/>
          </rPr>
          <t>Certificate from specialist dispensed, instead a pescription to be obtained from specialist.  Amt paid for treatment should be reduced by the amount received from the Insurer against any insurance for the medical treatment or from Employer, if any</t>
        </r>
        <r>
          <rPr>
            <b/>
            <sz val="10"/>
            <color indexed="81"/>
            <rFont val="Tahoma"/>
            <family val="2"/>
          </rPr>
          <t>.</t>
        </r>
      </text>
    </comment>
    <comment ref="H110" authorId="5">
      <text>
        <r>
          <rPr>
            <b/>
            <sz val="8"/>
            <color indexed="81"/>
            <rFont val="Tahoma"/>
            <family val="2"/>
          </rPr>
          <t>Sec 80 E: Deduction includes interest only.</t>
        </r>
      </text>
    </comment>
    <comment ref="D119" authorId="4">
      <text>
        <r>
          <rPr>
            <b/>
            <sz val="8"/>
            <color indexed="81"/>
            <rFont val="Tahoma"/>
            <family val="2"/>
          </rPr>
          <t>Pls Enter percentage of disability. Eg, 50%, 75%, etc as certified by the competent authority.</t>
        </r>
        <r>
          <rPr>
            <sz val="8"/>
            <color indexed="81"/>
            <rFont val="Tahoma"/>
            <family val="2"/>
          </rPr>
          <t xml:space="preserve">
</t>
        </r>
      </text>
    </comment>
    <comment ref="G123" authorId="6">
      <text>
        <r>
          <rPr>
            <b/>
            <sz val="8"/>
            <color indexed="81"/>
            <rFont val="Tahoma"/>
            <family val="2"/>
          </rPr>
          <t xml:space="preserve">Sum assured:
</t>
        </r>
        <r>
          <rPr>
            <sz val="8"/>
            <color indexed="81"/>
            <rFont val="Tahoma"/>
            <family val="2"/>
          </rPr>
          <t>Please enter the sum assured for all the policies - Compulsory</t>
        </r>
      </text>
    </comment>
    <comment ref="A141" authorId="2">
      <text>
        <r>
          <rPr>
            <b/>
            <sz val="8"/>
            <color indexed="81"/>
            <rFont val="Tahoma"/>
            <family val="2"/>
          </rPr>
          <t>Dedn u/s 80C</t>
        </r>
        <r>
          <rPr>
            <sz val="8"/>
            <color indexed="81"/>
            <rFont val="Tahoma"/>
            <family val="2"/>
          </rPr>
          <t xml:space="preserve">
Under newly inserted clause (xxi) in Section 80C(2) wef from Assessment year 2007-08 and onwards any sum deposited in a notified scheme of term deposit for a fixed period of not less than 5 years with a scheduled bank is also eligible for deduction from Gross Income within the overall ceiling limit of Rs.1.00 lakhs .
</t>
        </r>
      </text>
    </comment>
  </commentList>
</comments>
</file>

<file path=xl/comments3.xml><?xml version="1.0" encoding="utf-8"?>
<comments xmlns="http://schemas.openxmlformats.org/spreadsheetml/2006/main">
  <authors>
    <author>O.D.KAMALAKANNAN</author>
    <author>Kamalakannan</author>
    <author>ESTABLISHMENT</author>
  </authors>
  <commentList>
    <comment ref="F51" authorId="0">
      <text>
        <r>
          <rPr>
            <b/>
            <sz val="8"/>
            <color indexed="81"/>
            <rFont val="Tahoma"/>
            <family val="2"/>
          </rPr>
          <t>Represents Professional Tax</t>
        </r>
        <r>
          <rPr>
            <sz val="8"/>
            <color indexed="81"/>
            <rFont val="Tahoma"/>
            <family val="2"/>
          </rPr>
          <t xml:space="preserve">
</t>
        </r>
      </text>
    </comment>
    <comment ref="F52" authorId="1">
      <text>
        <r>
          <rPr>
            <sz val="8"/>
            <color indexed="81"/>
            <rFont val="Tahoma"/>
            <family val="2"/>
          </rPr>
          <t>Entertainment Allowance:
Pls note Entertainment Allowance is not paid in Bank. It is only Entertainment expense that is being reimbursed by the Bank.</t>
        </r>
      </text>
    </comment>
    <comment ref="H54" authorId="0">
      <text>
        <r>
          <rPr>
            <b/>
            <sz val="8"/>
            <color indexed="10"/>
            <rFont val="Tahoma"/>
            <family val="2"/>
          </rPr>
          <t>If amount is negative, then it represents loss on House property.
Ensure to obtain Form 12C from the employee duly showing the loss computation which includes interest on Housing Loans u/s 24</t>
        </r>
        <r>
          <rPr>
            <sz val="8"/>
            <color indexed="81"/>
            <rFont val="Tahoma"/>
            <family val="2"/>
          </rPr>
          <t xml:space="preserve">
</t>
        </r>
      </text>
    </comment>
    <comment ref="C67" authorId="0">
      <text>
        <r>
          <rPr>
            <sz val="8"/>
            <color indexed="81"/>
            <rFont val="Tahoma"/>
            <family val="2"/>
          </rPr>
          <t xml:space="preserve">LIP: Maximum Premium 20% of Sum assured.
</t>
        </r>
      </text>
    </comment>
    <comment ref="F67" authorId="2">
      <text>
        <r>
          <rPr>
            <sz val="8"/>
            <color indexed="10"/>
            <rFont val="Tahoma"/>
            <family val="2"/>
          </rPr>
          <t>The premium on an insurance policy other than a contract for a deferred annuity not in excess of 10% of the actual capital sum assured.</t>
        </r>
        <r>
          <rPr>
            <sz val="8"/>
            <color indexed="81"/>
            <rFont val="Tahoma"/>
            <family val="2"/>
          </rPr>
          <t xml:space="preserve">
</t>
        </r>
        <r>
          <rPr>
            <sz val="8"/>
            <color indexed="17"/>
            <rFont val="Tahoma"/>
            <family val="2"/>
          </rPr>
          <t xml:space="preserve">Payment of premia in respect of Self, spouse, child or members of HUF alone eligible for rebate.
</t>
        </r>
        <r>
          <rPr>
            <sz val="8"/>
            <color indexed="14"/>
            <rFont val="Tahoma"/>
            <family val="2"/>
          </rPr>
          <t>Life Insurance policy should not be surrendered within 2 years in case of single premium policy or before payment of premium for 2 years in case of other policies.</t>
        </r>
      </text>
    </comment>
    <comment ref="C68" authorId="0">
      <text>
        <r>
          <rPr>
            <b/>
            <sz val="8"/>
            <color indexed="81"/>
            <rFont val="Tahoma"/>
            <family val="2"/>
          </rPr>
          <t xml:space="preserve">Enter Compulsory Provident Fund contribution on </t>
        </r>
        <r>
          <rPr>
            <b/>
            <u/>
            <sz val="8"/>
            <color indexed="81"/>
            <rFont val="Tahoma"/>
            <family val="2"/>
          </rPr>
          <t>arrears of salary only.</t>
        </r>
        <r>
          <rPr>
            <sz val="8"/>
            <color indexed="81"/>
            <rFont val="Tahoma"/>
            <family val="2"/>
          </rPr>
          <t xml:space="preserve">
</t>
        </r>
      </text>
    </comment>
    <comment ref="C70" authorId="0">
      <text>
        <r>
          <rPr>
            <sz val="8"/>
            <color indexed="81"/>
            <rFont val="Tahoma"/>
            <family val="2"/>
          </rPr>
          <t xml:space="preserve">Public Provident Fund:
Minimum : Rs.500; Maximum: Rs.100000 per account as per PPF Rules.
</t>
        </r>
      </text>
    </comment>
    <comment ref="C76" authorId="0">
      <text>
        <r>
          <rPr>
            <sz val="8"/>
            <color indexed="81"/>
            <rFont val="Tahoma"/>
            <family val="2"/>
          </rPr>
          <t>ULIP of UTI / LIC and continuous for minimum period of 5 years.</t>
        </r>
        <r>
          <rPr>
            <sz val="8"/>
            <color indexed="81"/>
            <rFont val="Tahoma"/>
            <family val="2"/>
          </rPr>
          <t xml:space="preserve">
</t>
        </r>
      </text>
    </comment>
    <comment ref="C77" authorId="0">
      <text>
        <r>
          <rPr>
            <b/>
            <sz val="8"/>
            <color indexed="81"/>
            <rFont val="Tahoma"/>
            <family val="2"/>
          </rPr>
          <t>Notified Deferred Annuity Plan of LIC</t>
        </r>
        <r>
          <rPr>
            <sz val="8"/>
            <color indexed="81"/>
            <rFont val="Tahoma"/>
            <family val="2"/>
          </rPr>
          <t xml:space="preserve">
</t>
        </r>
      </text>
    </comment>
    <comment ref="C78" authorId="0">
      <text>
        <r>
          <rPr>
            <b/>
            <sz val="8"/>
            <color indexed="81"/>
            <rFont val="Tahoma"/>
            <family val="2"/>
          </rPr>
          <t>Annuity Plans of TATA AAIG Insurance company</t>
        </r>
        <r>
          <rPr>
            <sz val="8"/>
            <color indexed="81"/>
            <rFont val="Tahoma"/>
            <family val="2"/>
          </rPr>
          <t xml:space="preserve">
</t>
        </r>
      </text>
    </comment>
  </commentList>
</comments>
</file>

<file path=xl/comments4.xml><?xml version="1.0" encoding="utf-8"?>
<comments xmlns="http://schemas.openxmlformats.org/spreadsheetml/2006/main">
  <authors>
    <author>O.D.Kamalakannan</author>
  </authors>
  <commentList>
    <comment ref="R4" authorId="0">
      <text>
        <r>
          <rPr>
            <b/>
            <sz val="8"/>
            <color indexed="81"/>
            <rFont val="Tahoma"/>
            <family val="2"/>
          </rPr>
          <t>Select CPF or New Pension Fund Contribution, as the case may be.</t>
        </r>
        <r>
          <rPr>
            <sz val="8"/>
            <color indexed="81"/>
            <rFont val="Tahoma"/>
            <family val="2"/>
          </rPr>
          <t xml:space="preserve">
</t>
        </r>
      </text>
    </comment>
  </commentList>
</comments>
</file>

<file path=xl/comments5.xml><?xml version="1.0" encoding="utf-8"?>
<comments xmlns="http://schemas.openxmlformats.org/spreadsheetml/2006/main">
  <authors>
    <author>odkk</author>
  </authors>
  <commentList>
    <comment ref="F7" authorId="0">
      <text>
        <r>
          <rPr>
            <sz val="8"/>
            <color indexed="81"/>
            <rFont val="Tahoma"/>
            <family val="2"/>
          </rPr>
          <t xml:space="preserve">Refer to the Table for finding out the interest rate based on "Date of purchase" and " No of years completed"
</t>
        </r>
      </text>
    </comment>
    <comment ref="F8" authorId="0">
      <text>
        <r>
          <rPr>
            <b/>
            <sz val="8"/>
            <color indexed="81"/>
            <rFont val="Tahoma"/>
            <family val="2"/>
          </rPr>
          <t>odkk:</t>
        </r>
        <r>
          <rPr>
            <sz val="8"/>
            <color indexed="81"/>
            <rFont val="Tahoma"/>
            <family val="2"/>
          </rPr>
          <t xml:space="preserve">
Refer to the Table for finding out the interest rate based on "Date of purchase" and " No of years completed"</t>
        </r>
      </text>
    </comment>
    <comment ref="G8" authorId="0">
      <text>
        <r>
          <rPr>
            <sz val="8"/>
            <color indexed="10"/>
            <rFont val="Tahoma"/>
            <family val="2"/>
          </rPr>
          <t>Calculated Cell. Do not enter any values.</t>
        </r>
        <r>
          <rPr>
            <sz val="8"/>
            <color indexed="81"/>
            <rFont val="Tahoma"/>
            <family val="2"/>
          </rPr>
          <t xml:space="preserve">
</t>
        </r>
      </text>
    </comment>
    <comment ref="F9" authorId="0">
      <text>
        <r>
          <rPr>
            <b/>
            <sz val="8"/>
            <color indexed="81"/>
            <rFont val="Tahoma"/>
            <family val="2"/>
          </rPr>
          <t>odkk:</t>
        </r>
        <r>
          <rPr>
            <sz val="8"/>
            <color indexed="81"/>
            <rFont val="Tahoma"/>
            <family val="2"/>
          </rPr>
          <t xml:space="preserve">
Refer to the Table for finding out the interest rate based on "Date of purchase" and " No of years completed"</t>
        </r>
      </text>
    </comment>
    <comment ref="G9" authorId="0">
      <text>
        <r>
          <rPr>
            <sz val="8"/>
            <color indexed="81"/>
            <rFont val="Tahoma"/>
            <family val="2"/>
          </rPr>
          <t xml:space="preserve">Calculated Cell. Do not enter any values.
</t>
        </r>
      </text>
    </comment>
    <comment ref="F10" authorId="0">
      <text>
        <r>
          <rPr>
            <b/>
            <sz val="8"/>
            <color indexed="81"/>
            <rFont val="Tahoma"/>
            <family val="2"/>
          </rPr>
          <t>odkk:</t>
        </r>
        <r>
          <rPr>
            <sz val="8"/>
            <color indexed="81"/>
            <rFont val="Tahoma"/>
            <family val="2"/>
          </rPr>
          <t xml:space="preserve">
Refer to the Table for finding out the interest rate based on "Date of purchase" and " No of years completed"</t>
        </r>
      </text>
    </comment>
    <comment ref="G10" authorId="0">
      <text>
        <r>
          <rPr>
            <sz val="8"/>
            <color indexed="81"/>
            <rFont val="Tahoma"/>
            <family val="2"/>
          </rPr>
          <t xml:space="preserve">Calculated Cell. Do not enter any values.
</t>
        </r>
      </text>
    </comment>
    <comment ref="F11" authorId="0">
      <text>
        <r>
          <rPr>
            <b/>
            <sz val="8"/>
            <color indexed="81"/>
            <rFont val="Tahoma"/>
            <family val="2"/>
          </rPr>
          <t>odkk:</t>
        </r>
        <r>
          <rPr>
            <sz val="8"/>
            <color indexed="81"/>
            <rFont val="Tahoma"/>
            <family val="2"/>
          </rPr>
          <t xml:space="preserve">
Refer to the Table for finding out the interest rate based on "Date of purchase" and " No of years completed"</t>
        </r>
      </text>
    </comment>
    <comment ref="G11" authorId="0">
      <text>
        <r>
          <rPr>
            <sz val="8"/>
            <color indexed="81"/>
            <rFont val="Tahoma"/>
            <family val="2"/>
          </rPr>
          <t xml:space="preserve">Calculated Cell. Do not enter any values.
</t>
        </r>
      </text>
    </comment>
    <comment ref="F12" authorId="0">
      <text>
        <r>
          <rPr>
            <b/>
            <sz val="8"/>
            <color indexed="81"/>
            <rFont val="Tahoma"/>
            <family val="2"/>
          </rPr>
          <t>odkk:</t>
        </r>
        <r>
          <rPr>
            <sz val="8"/>
            <color indexed="81"/>
            <rFont val="Tahoma"/>
            <family val="2"/>
          </rPr>
          <t xml:space="preserve">
Refer to the Table for finding out the interest rate based on "Date of purchase" and " No of years completed"</t>
        </r>
      </text>
    </comment>
    <comment ref="G12" authorId="0">
      <text>
        <r>
          <rPr>
            <sz val="8"/>
            <color indexed="81"/>
            <rFont val="Tahoma"/>
            <family val="2"/>
          </rPr>
          <t xml:space="preserve">Calculated Cell. Do not enter any values.
</t>
        </r>
      </text>
    </comment>
    <comment ref="F13" authorId="0">
      <text>
        <r>
          <rPr>
            <b/>
            <sz val="8"/>
            <color indexed="81"/>
            <rFont val="Tahoma"/>
            <family val="2"/>
          </rPr>
          <t>odkk:</t>
        </r>
        <r>
          <rPr>
            <sz val="8"/>
            <color indexed="81"/>
            <rFont val="Tahoma"/>
            <family val="2"/>
          </rPr>
          <t xml:space="preserve">
Refer to the Table for finding out the interest rate based on "Date of purchase" and " No of years completed"</t>
        </r>
      </text>
    </comment>
    <comment ref="G13" authorId="0">
      <text>
        <r>
          <rPr>
            <sz val="8"/>
            <color indexed="81"/>
            <rFont val="Tahoma"/>
            <family val="2"/>
          </rPr>
          <t xml:space="preserve">Calculated Cell. Do not enter any values.
</t>
        </r>
      </text>
    </comment>
    <comment ref="F14" authorId="0">
      <text>
        <r>
          <rPr>
            <b/>
            <sz val="8"/>
            <color indexed="81"/>
            <rFont val="Tahoma"/>
            <family val="2"/>
          </rPr>
          <t>odkk:</t>
        </r>
        <r>
          <rPr>
            <sz val="8"/>
            <color indexed="81"/>
            <rFont val="Tahoma"/>
            <family val="2"/>
          </rPr>
          <t xml:space="preserve">
Refer to the Table for finding out the interest rate based on "Date of purchase" and " No of years completed"</t>
        </r>
      </text>
    </comment>
    <comment ref="G14" authorId="0">
      <text>
        <r>
          <rPr>
            <sz val="8"/>
            <color indexed="81"/>
            <rFont val="Tahoma"/>
            <family val="2"/>
          </rPr>
          <t xml:space="preserve">Calculated Cell. Do not enter any values.
</t>
        </r>
      </text>
    </comment>
    <comment ref="F15" authorId="0">
      <text>
        <r>
          <rPr>
            <b/>
            <sz val="8"/>
            <color indexed="81"/>
            <rFont val="Tahoma"/>
            <family val="2"/>
          </rPr>
          <t>odkk:</t>
        </r>
        <r>
          <rPr>
            <sz val="8"/>
            <color indexed="81"/>
            <rFont val="Tahoma"/>
            <family val="2"/>
          </rPr>
          <t xml:space="preserve">
Refer to the Table for finding out the interest rate based on "Date of purchase" and " No of years completed"</t>
        </r>
      </text>
    </comment>
    <comment ref="G15" authorId="0">
      <text>
        <r>
          <rPr>
            <sz val="8"/>
            <color indexed="81"/>
            <rFont val="Tahoma"/>
            <family val="2"/>
          </rPr>
          <t xml:space="preserve">Calculated Cell. Do not enter any values.
</t>
        </r>
      </text>
    </comment>
    <comment ref="F16" authorId="0">
      <text>
        <r>
          <rPr>
            <b/>
            <sz val="8"/>
            <color indexed="81"/>
            <rFont val="Tahoma"/>
            <family val="2"/>
          </rPr>
          <t>odkk:</t>
        </r>
        <r>
          <rPr>
            <sz val="8"/>
            <color indexed="81"/>
            <rFont val="Tahoma"/>
            <family val="2"/>
          </rPr>
          <t xml:space="preserve">
Refer to the Table for finding out the interest rate based on "Date of purchase" and " No of years completed"</t>
        </r>
      </text>
    </comment>
    <comment ref="G16" authorId="0">
      <text>
        <r>
          <rPr>
            <sz val="8"/>
            <color indexed="81"/>
            <rFont val="Tahoma"/>
            <family val="2"/>
          </rPr>
          <t xml:space="preserve">Calculated Cell. Do not enter any values.
</t>
        </r>
      </text>
    </comment>
    <comment ref="F17" authorId="0">
      <text>
        <r>
          <rPr>
            <b/>
            <sz val="8"/>
            <color indexed="81"/>
            <rFont val="Tahoma"/>
            <family val="2"/>
          </rPr>
          <t>odkk:</t>
        </r>
        <r>
          <rPr>
            <sz val="8"/>
            <color indexed="81"/>
            <rFont val="Tahoma"/>
            <family val="2"/>
          </rPr>
          <t xml:space="preserve">
Refer to the Table for finding out the interest rate based on "Date of purchase" and " No of years completed"</t>
        </r>
      </text>
    </comment>
    <comment ref="G17" authorId="0">
      <text>
        <r>
          <rPr>
            <sz val="8"/>
            <color indexed="81"/>
            <rFont val="Tahoma"/>
            <family val="2"/>
          </rPr>
          <t xml:space="preserve">Calculated Cell. Do not enter any values.
</t>
        </r>
      </text>
    </comment>
    <comment ref="F18" authorId="0">
      <text>
        <r>
          <rPr>
            <b/>
            <sz val="8"/>
            <color indexed="81"/>
            <rFont val="Tahoma"/>
            <family val="2"/>
          </rPr>
          <t>odkk:</t>
        </r>
        <r>
          <rPr>
            <sz val="8"/>
            <color indexed="81"/>
            <rFont val="Tahoma"/>
            <family val="2"/>
          </rPr>
          <t xml:space="preserve">
Refer to the Table for finding out the interest rate based on "Date of purchase" and " No of years completed"</t>
        </r>
      </text>
    </comment>
    <comment ref="G18" authorId="0">
      <text>
        <r>
          <rPr>
            <sz val="8"/>
            <color indexed="81"/>
            <rFont val="Tahoma"/>
            <family val="2"/>
          </rPr>
          <t xml:space="preserve">Calculated Cell. Do not enter any values.
</t>
        </r>
      </text>
    </comment>
    <comment ref="F19" authorId="0">
      <text>
        <r>
          <rPr>
            <b/>
            <sz val="8"/>
            <color indexed="81"/>
            <rFont val="Tahoma"/>
            <family val="2"/>
          </rPr>
          <t>odkk:</t>
        </r>
        <r>
          <rPr>
            <sz val="8"/>
            <color indexed="81"/>
            <rFont val="Tahoma"/>
            <family val="2"/>
          </rPr>
          <t xml:space="preserve">
Refer to the Table for finding out the interest rate based on "Date of purchase" and " No of years completed"</t>
        </r>
      </text>
    </comment>
    <comment ref="G19" authorId="0">
      <text>
        <r>
          <rPr>
            <sz val="8"/>
            <color indexed="81"/>
            <rFont val="Tahoma"/>
            <family val="2"/>
          </rPr>
          <t xml:space="preserve">Calculated Cell. Do not enter any values.
</t>
        </r>
      </text>
    </comment>
    <comment ref="F20" authorId="0">
      <text>
        <r>
          <rPr>
            <b/>
            <sz val="8"/>
            <color indexed="81"/>
            <rFont val="Tahoma"/>
            <family val="2"/>
          </rPr>
          <t>odkk:</t>
        </r>
        <r>
          <rPr>
            <sz val="8"/>
            <color indexed="81"/>
            <rFont val="Tahoma"/>
            <family val="2"/>
          </rPr>
          <t xml:space="preserve">
Refer to the Table for finding out the interest rate based on "Date of purchase" and " No of years completed"</t>
        </r>
      </text>
    </comment>
    <comment ref="G20" authorId="0">
      <text>
        <r>
          <rPr>
            <sz val="8"/>
            <color indexed="81"/>
            <rFont val="Tahoma"/>
            <family val="2"/>
          </rPr>
          <t xml:space="preserve">Calculated Cell. Do not enter any values.
</t>
        </r>
      </text>
    </comment>
    <comment ref="F21" authorId="0">
      <text>
        <r>
          <rPr>
            <b/>
            <sz val="8"/>
            <color indexed="81"/>
            <rFont val="Tahoma"/>
            <family val="2"/>
          </rPr>
          <t>odkk:</t>
        </r>
        <r>
          <rPr>
            <sz val="8"/>
            <color indexed="81"/>
            <rFont val="Tahoma"/>
            <family val="2"/>
          </rPr>
          <t xml:space="preserve">
Refer to the Table for finding out the interest rate based on "Date of purchase" and " No of years completed"</t>
        </r>
      </text>
    </comment>
    <comment ref="G21" authorId="0">
      <text>
        <r>
          <rPr>
            <sz val="8"/>
            <color indexed="81"/>
            <rFont val="Tahoma"/>
            <family val="2"/>
          </rPr>
          <t xml:space="preserve">Calculated Cell. Do not enter any values.
</t>
        </r>
      </text>
    </comment>
  </commentList>
</comments>
</file>

<file path=xl/comments6.xml><?xml version="1.0" encoding="utf-8"?>
<comments xmlns="http://schemas.openxmlformats.org/spreadsheetml/2006/main">
  <authors>
    <author>odkk</author>
  </authors>
  <commentList>
    <comment ref="F7" authorId="0">
      <text>
        <r>
          <rPr>
            <sz val="8"/>
            <color indexed="81"/>
            <rFont val="Tahoma"/>
            <family val="2"/>
          </rPr>
          <t xml:space="preserve">Refer to the Table for finding out the interest rate based on "Date of purchase" and " No of years completed"
</t>
        </r>
      </text>
    </comment>
    <comment ref="F8" authorId="0">
      <text>
        <r>
          <rPr>
            <b/>
            <sz val="8"/>
            <color indexed="81"/>
            <rFont val="Tahoma"/>
            <family val="2"/>
          </rPr>
          <t>odkk:</t>
        </r>
        <r>
          <rPr>
            <sz val="8"/>
            <color indexed="81"/>
            <rFont val="Tahoma"/>
            <family val="2"/>
          </rPr>
          <t xml:space="preserve">
Refer to the Table for finding out the interest rate based on "Date of purchase" and " No of years completed"</t>
        </r>
      </text>
    </comment>
    <comment ref="G8" authorId="0">
      <text>
        <r>
          <rPr>
            <sz val="8"/>
            <color indexed="10"/>
            <rFont val="Tahoma"/>
            <family val="2"/>
          </rPr>
          <t>Calculated Cell. Do not enter any values.</t>
        </r>
        <r>
          <rPr>
            <sz val="8"/>
            <color indexed="81"/>
            <rFont val="Tahoma"/>
            <family val="2"/>
          </rPr>
          <t xml:space="preserve">
</t>
        </r>
      </text>
    </comment>
    <comment ref="F9" authorId="0">
      <text>
        <r>
          <rPr>
            <b/>
            <sz val="8"/>
            <color indexed="81"/>
            <rFont val="Tahoma"/>
            <family val="2"/>
          </rPr>
          <t>odkk:</t>
        </r>
        <r>
          <rPr>
            <sz val="8"/>
            <color indexed="81"/>
            <rFont val="Tahoma"/>
            <family val="2"/>
          </rPr>
          <t xml:space="preserve">
Refer to the Table for finding out the interest rate based on "Date of purchase" and " No of years completed"</t>
        </r>
      </text>
    </comment>
    <comment ref="G9" authorId="0">
      <text>
        <r>
          <rPr>
            <sz val="8"/>
            <color indexed="81"/>
            <rFont val="Tahoma"/>
            <family val="2"/>
          </rPr>
          <t xml:space="preserve">Calculated Cell. Do not enter any values.
</t>
        </r>
      </text>
    </comment>
    <comment ref="F10" authorId="0">
      <text>
        <r>
          <rPr>
            <b/>
            <sz val="8"/>
            <color indexed="81"/>
            <rFont val="Tahoma"/>
            <family val="2"/>
          </rPr>
          <t>odkk:</t>
        </r>
        <r>
          <rPr>
            <sz val="8"/>
            <color indexed="81"/>
            <rFont val="Tahoma"/>
            <family val="2"/>
          </rPr>
          <t xml:space="preserve">
Refer to the Table for finding out the interest rate based on "Date of purchase" and " No of years completed"</t>
        </r>
      </text>
    </comment>
    <comment ref="G10" authorId="0">
      <text>
        <r>
          <rPr>
            <sz val="8"/>
            <color indexed="81"/>
            <rFont val="Tahoma"/>
            <family val="2"/>
          </rPr>
          <t xml:space="preserve">Calculated Cell. Do not enter any values.
</t>
        </r>
      </text>
    </comment>
    <comment ref="F11" authorId="0">
      <text>
        <r>
          <rPr>
            <b/>
            <sz val="8"/>
            <color indexed="81"/>
            <rFont val="Tahoma"/>
            <family val="2"/>
          </rPr>
          <t>odkk:</t>
        </r>
        <r>
          <rPr>
            <sz val="8"/>
            <color indexed="81"/>
            <rFont val="Tahoma"/>
            <family val="2"/>
          </rPr>
          <t xml:space="preserve">
Refer to the Table for finding out the interest rate based on "Date of purchase" and " No of years completed"</t>
        </r>
      </text>
    </comment>
    <comment ref="G11" authorId="0">
      <text>
        <r>
          <rPr>
            <sz val="8"/>
            <color indexed="81"/>
            <rFont val="Tahoma"/>
            <family val="2"/>
          </rPr>
          <t xml:space="preserve">Calculated Cell. Do not enter any values.
</t>
        </r>
      </text>
    </comment>
    <comment ref="F12" authorId="0">
      <text>
        <r>
          <rPr>
            <b/>
            <sz val="8"/>
            <color indexed="81"/>
            <rFont val="Tahoma"/>
            <family val="2"/>
          </rPr>
          <t>odkk:</t>
        </r>
        <r>
          <rPr>
            <sz val="8"/>
            <color indexed="81"/>
            <rFont val="Tahoma"/>
            <family val="2"/>
          </rPr>
          <t xml:space="preserve">
Refer to the Table for finding out the interest rate based on "Date of purchase" and " No of years completed"</t>
        </r>
      </text>
    </comment>
    <comment ref="G12" authorId="0">
      <text>
        <r>
          <rPr>
            <sz val="8"/>
            <color indexed="81"/>
            <rFont val="Tahoma"/>
            <family val="2"/>
          </rPr>
          <t xml:space="preserve">Calculated Cell. Do not enter any values.
</t>
        </r>
      </text>
    </comment>
    <comment ref="F13" authorId="0">
      <text>
        <r>
          <rPr>
            <b/>
            <sz val="8"/>
            <color indexed="81"/>
            <rFont val="Tahoma"/>
            <family val="2"/>
          </rPr>
          <t>odkk:</t>
        </r>
        <r>
          <rPr>
            <sz val="8"/>
            <color indexed="81"/>
            <rFont val="Tahoma"/>
            <family val="2"/>
          </rPr>
          <t xml:space="preserve">
Refer to the Table for finding out the interest rate based on "Date of purchase" and " No of years completed"</t>
        </r>
      </text>
    </comment>
    <comment ref="G13" authorId="0">
      <text>
        <r>
          <rPr>
            <sz val="8"/>
            <color indexed="81"/>
            <rFont val="Tahoma"/>
            <family val="2"/>
          </rPr>
          <t xml:space="preserve">Calculated Cell. Do not enter any values.
</t>
        </r>
      </text>
    </comment>
    <comment ref="F14" authorId="0">
      <text>
        <r>
          <rPr>
            <b/>
            <sz val="8"/>
            <color indexed="81"/>
            <rFont val="Tahoma"/>
            <family val="2"/>
          </rPr>
          <t>odkk:</t>
        </r>
        <r>
          <rPr>
            <sz val="8"/>
            <color indexed="81"/>
            <rFont val="Tahoma"/>
            <family val="2"/>
          </rPr>
          <t xml:space="preserve">
Refer to the Table for finding out the interest rate based on "Date of purchase" and " No of years completed"</t>
        </r>
      </text>
    </comment>
    <comment ref="G14" authorId="0">
      <text>
        <r>
          <rPr>
            <sz val="8"/>
            <color indexed="81"/>
            <rFont val="Tahoma"/>
            <family val="2"/>
          </rPr>
          <t xml:space="preserve">Calculated Cell. Do not enter any values.
</t>
        </r>
      </text>
    </comment>
    <comment ref="F15" authorId="0">
      <text>
        <r>
          <rPr>
            <b/>
            <sz val="8"/>
            <color indexed="81"/>
            <rFont val="Tahoma"/>
            <family val="2"/>
          </rPr>
          <t>odkk:</t>
        </r>
        <r>
          <rPr>
            <sz val="8"/>
            <color indexed="81"/>
            <rFont val="Tahoma"/>
            <family val="2"/>
          </rPr>
          <t xml:space="preserve">
Refer to the Table for finding out the interest rate based on "Date of purchase" and " No of years completed"</t>
        </r>
      </text>
    </comment>
    <comment ref="G15" authorId="0">
      <text>
        <r>
          <rPr>
            <sz val="8"/>
            <color indexed="81"/>
            <rFont val="Tahoma"/>
            <family val="2"/>
          </rPr>
          <t xml:space="preserve">Calculated Cell. Do not enter any values.
</t>
        </r>
      </text>
    </comment>
    <comment ref="F16" authorId="0">
      <text>
        <r>
          <rPr>
            <b/>
            <sz val="8"/>
            <color indexed="81"/>
            <rFont val="Tahoma"/>
            <family val="2"/>
          </rPr>
          <t>odkk:</t>
        </r>
        <r>
          <rPr>
            <sz val="8"/>
            <color indexed="81"/>
            <rFont val="Tahoma"/>
            <family val="2"/>
          </rPr>
          <t xml:space="preserve">
Refer to the Table for finding out the interest rate based on "Date of purchase" and " No of years completed"</t>
        </r>
      </text>
    </comment>
    <comment ref="G16" authorId="0">
      <text>
        <r>
          <rPr>
            <sz val="8"/>
            <color indexed="81"/>
            <rFont val="Tahoma"/>
            <family val="2"/>
          </rPr>
          <t xml:space="preserve">Calculated Cell. Do not enter any values.
</t>
        </r>
      </text>
    </comment>
    <comment ref="F17" authorId="0">
      <text>
        <r>
          <rPr>
            <b/>
            <sz val="8"/>
            <color indexed="81"/>
            <rFont val="Tahoma"/>
            <family val="2"/>
          </rPr>
          <t>odkk:</t>
        </r>
        <r>
          <rPr>
            <sz val="8"/>
            <color indexed="81"/>
            <rFont val="Tahoma"/>
            <family val="2"/>
          </rPr>
          <t xml:space="preserve">
Refer to the Table for finding out the interest rate based on "Date of purchase" and " No of years completed"</t>
        </r>
      </text>
    </comment>
    <comment ref="G17" authorId="0">
      <text>
        <r>
          <rPr>
            <sz val="8"/>
            <color indexed="81"/>
            <rFont val="Tahoma"/>
            <family val="2"/>
          </rPr>
          <t xml:space="preserve">Calculated Cell. Do not enter any values.
</t>
        </r>
      </text>
    </comment>
    <comment ref="F18" authorId="0">
      <text>
        <r>
          <rPr>
            <b/>
            <sz val="8"/>
            <color indexed="81"/>
            <rFont val="Tahoma"/>
            <family val="2"/>
          </rPr>
          <t>odkk:</t>
        </r>
        <r>
          <rPr>
            <sz val="8"/>
            <color indexed="81"/>
            <rFont val="Tahoma"/>
            <family val="2"/>
          </rPr>
          <t xml:space="preserve">
Refer to the Table for finding out the interest rate based on "Date of purchase" and " No of years completed"</t>
        </r>
      </text>
    </comment>
    <comment ref="G18" authorId="0">
      <text>
        <r>
          <rPr>
            <sz val="8"/>
            <color indexed="81"/>
            <rFont val="Tahoma"/>
            <family val="2"/>
          </rPr>
          <t xml:space="preserve">Calculated Cell. Do not enter any values.
</t>
        </r>
      </text>
    </comment>
    <comment ref="F19" authorId="0">
      <text>
        <r>
          <rPr>
            <b/>
            <sz val="8"/>
            <color indexed="81"/>
            <rFont val="Tahoma"/>
            <family val="2"/>
          </rPr>
          <t>odkk:</t>
        </r>
        <r>
          <rPr>
            <sz val="8"/>
            <color indexed="81"/>
            <rFont val="Tahoma"/>
            <family val="2"/>
          </rPr>
          <t xml:space="preserve">
Refer to the Table for finding out the interest rate based on "Date of purchase" and " No of years completed"</t>
        </r>
      </text>
    </comment>
    <comment ref="G19" authorId="0">
      <text>
        <r>
          <rPr>
            <sz val="8"/>
            <color indexed="81"/>
            <rFont val="Tahoma"/>
            <family val="2"/>
          </rPr>
          <t xml:space="preserve">Calculated Cell. Do not enter any values.
</t>
        </r>
      </text>
    </comment>
    <comment ref="F20" authorId="0">
      <text>
        <r>
          <rPr>
            <b/>
            <sz val="8"/>
            <color indexed="81"/>
            <rFont val="Tahoma"/>
            <family val="2"/>
          </rPr>
          <t>odkk:</t>
        </r>
        <r>
          <rPr>
            <sz val="8"/>
            <color indexed="81"/>
            <rFont val="Tahoma"/>
            <family val="2"/>
          </rPr>
          <t xml:space="preserve">
Refer to the Table for finding out the interest rate based on "Date of purchase" and " No of years completed"</t>
        </r>
      </text>
    </comment>
    <comment ref="G20" authorId="0">
      <text>
        <r>
          <rPr>
            <sz val="8"/>
            <color indexed="81"/>
            <rFont val="Tahoma"/>
            <family val="2"/>
          </rPr>
          <t xml:space="preserve">Calculated Cell. Do not enter any values.
</t>
        </r>
      </text>
    </comment>
    <comment ref="F21" authorId="0">
      <text>
        <r>
          <rPr>
            <b/>
            <sz val="8"/>
            <color indexed="81"/>
            <rFont val="Tahoma"/>
            <family val="2"/>
          </rPr>
          <t>odkk:</t>
        </r>
        <r>
          <rPr>
            <sz val="8"/>
            <color indexed="81"/>
            <rFont val="Tahoma"/>
            <family val="2"/>
          </rPr>
          <t xml:space="preserve">
Refer to the Table for finding out the interest rate based on "Date of purchase" and " No of years completed"</t>
        </r>
      </text>
    </comment>
    <comment ref="G21" authorId="0">
      <text>
        <r>
          <rPr>
            <sz val="8"/>
            <color indexed="81"/>
            <rFont val="Tahoma"/>
            <family val="2"/>
          </rPr>
          <t xml:space="preserve">Calculated Cell. Do not enter any values.
</t>
        </r>
      </text>
    </comment>
  </commentList>
</comments>
</file>

<file path=xl/sharedStrings.xml><?xml version="1.0" encoding="utf-8"?>
<sst xmlns="http://schemas.openxmlformats.org/spreadsheetml/2006/main" count="1605" uniqueCount="1152">
  <si>
    <t>DATA SHEET FOR COMPUTATION OF INCOME TAX</t>
  </si>
  <si>
    <t>Name</t>
  </si>
  <si>
    <t>Name of the employee</t>
  </si>
  <si>
    <t>Designation</t>
  </si>
  <si>
    <t>Sex [Male / Female]</t>
  </si>
  <si>
    <t xml:space="preserve">Branch /Office </t>
  </si>
  <si>
    <t>Financial Year</t>
  </si>
  <si>
    <t>Assessment Year</t>
  </si>
  <si>
    <t>Earnings</t>
  </si>
  <si>
    <t>Name of the Employee</t>
  </si>
  <si>
    <t>Month</t>
  </si>
  <si>
    <t>Basic</t>
  </si>
  <si>
    <t>Spl All</t>
  </si>
  <si>
    <t>D.A</t>
  </si>
  <si>
    <t>C.C.A</t>
  </si>
  <si>
    <t>H.R.A</t>
  </si>
  <si>
    <t>P.Q.A</t>
  </si>
  <si>
    <t>F.P.A</t>
  </si>
  <si>
    <t>Con.All</t>
  </si>
  <si>
    <t>Gross</t>
  </si>
  <si>
    <t>Qtrs recovery</t>
  </si>
  <si>
    <t>Furn recovery</t>
  </si>
  <si>
    <t>Car recovery</t>
  </si>
  <si>
    <t>Prof.Tax</t>
  </si>
  <si>
    <t>Income Tax</t>
  </si>
  <si>
    <t>LIC</t>
  </si>
  <si>
    <t>Total</t>
  </si>
  <si>
    <t>Adhoc Payment</t>
  </si>
  <si>
    <t>Closing Allowance</t>
  </si>
  <si>
    <t>Add</t>
  </si>
  <si>
    <t>Officiating Allowance</t>
  </si>
  <si>
    <t>CALCULATION OF PERQUISITES</t>
  </si>
  <si>
    <t>Financial Years</t>
  </si>
  <si>
    <t xml:space="preserve">Name </t>
  </si>
  <si>
    <t>PERKS IN RESPECT OF INTEREST FREE OR CONCESSIONAL LOANS</t>
  </si>
  <si>
    <t>Housing Loan</t>
  </si>
  <si>
    <t>Conveyance Loan</t>
  </si>
  <si>
    <t>Overdraft Account</t>
  </si>
  <si>
    <t>Clean Loan</t>
  </si>
  <si>
    <t>PLR Loan</t>
  </si>
  <si>
    <t>Computer Loan</t>
  </si>
  <si>
    <t>Total value of perks chargeable to tax</t>
  </si>
  <si>
    <t>Max. Balance O/s</t>
  </si>
  <si>
    <t>Interest actually charged</t>
  </si>
  <si>
    <t xml:space="preserve">Total </t>
  </si>
  <si>
    <t>Value of Perks</t>
  </si>
  <si>
    <t>CHENNAI.</t>
  </si>
  <si>
    <t>CALCULATION OF VALUE OF PERKS</t>
  </si>
  <si>
    <t>PAN/TAN No</t>
  </si>
  <si>
    <t>Gross Salary</t>
  </si>
  <si>
    <t>Dearness Allowance</t>
  </si>
  <si>
    <t>10% of Furn. Value</t>
  </si>
  <si>
    <t>Less</t>
  </si>
  <si>
    <t>House Rent Recovery</t>
  </si>
  <si>
    <t>(-)</t>
  </si>
  <si>
    <t>Furn. Rent Recovery</t>
  </si>
  <si>
    <t>ACCOMODATION PERQUISITES</t>
  </si>
  <si>
    <t>Calculation of value of Perquisites in respect of Car</t>
  </si>
  <si>
    <t>A)</t>
  </si>
  <si>
    <t>Where the motor car is owned and is used wholly and exclusively in the performance of Official duties;</t>
  </si>
  <si>
    <t>Value of Perquisites</t>
  </si>
  <si>
    <t>B)</t>
  </si>
  <si>
    <t>Actual expenses incurred on the running and maintenance of the car</t>
  </si>
  <si>
    <t>(+)</t>
  </si>
  <si>
    <t>10% of the Cost of the Car</t>
  </si>
  <si>
    <t>Salary of the driver paid for one year</t>
  </si>
  <si>
    <t>Recovery for Car</t>
  </si>
  <si>
    <t>Value of Perks for  Car</t>
  </si>
  <si>
    <t>C)</t>
  </si>
  <si>
    <t>Where the car is partly used for Official purpose and partly for Personal/Private Use</t>
  </si>
  <si>
    <t>a)</t>
  </si>
  <si>
    <t>Cubic Capacity &lt;1.6 litres with driver</t>
  </si>
  <si>
    <t>b)</t>
  </si>
  <si>
    <t>Cubic Capacity &lt;1.6 litres without driver</t>
  </si>
  <si>
    <t>c)</t>
  </si>
  <si>
    <t>Cubic Capacity &gt;1.6 litres with driver</t>
  </si>
  <si>
    <t>d)</t>
  </si>
  <si>
    <t>Cubic Capacity &gt;1.6 litres without driver</t>
  </si>
  <si>
    <t>Category</t>
  </si>
  <si>
    <t>CAR PERQUISITES</t>
  </si>
  <si>
    <t>D) PERKS VALUE IN RESPECT OF INTEREST FREE LOANS</t>
  </si>
  <si>
    <t>E) HOLIDAY EXPENSES</t>
  </si>
  <si>
    <t>F) FREE MEALS</t>
  </si>
  <si>
    <t>G) CREDIT CARD EXPENSES</t>
  </si>
  <si>
    <t>H) CLUB EXPENSES</t>
  </si>
  <si>
    <t>I) MEDICAL FACILITIES</t>
  </si>
  <si>
    <t>K) Reimbursement of Educational Expenses</t>
  </si>
  <si>
    <t>TOTAL VALUE OF PERQUISITES</t>
  </si>
  <si>
    <t>INCOME TAX LIABILITY COMPUTATION SHEET</t>
  </si>
  <si>
    <t>S.No</t>
  </si>
  <si>
    <t>Amount in Rs</t>
  </si>
  <si>
    <t>A  1</t>
  </si>
  <si>
    <t>Basic Pay</t>
  </si>
  <si>
    <t>House Rent Allowance</t>
  </si>
  <si>
    <t>City Compensatory Allowance</t>
  </si>
  <si>
    <t>Other Allowance I &amp; II</t>
  </si>
  <si>
    <t>Special Allowance</t>
  </si>
  <si>
    <t>Professional Qualification Allowance</t>
  </si>
  <si>
    <t>Educational Qualification Allowance</t>
  </si>
  <si>
    <t>Interim Relief</t>
  </si>
  <si>
    <t>Leave Encashment chargeable in excess of exemptn.</t>
  </si>
  <si>
    <t>LFC diff between amt spent and amt paid to award stf</t>
  </si>
  <si>
    <t>Arrears of Salary, if any</t>
  </si>
  <si>
    <t>Interest on PF in excess of notified rate of 9.5%</t>
  </si>
  <si>
    <t>Fixed Personal Allowance</t>
  </si>
  <si>
    <t>Conveyance Allowance</t>
  </si>
  <si>
    <t>Perquisites</t>
  </si>
  <si>
    <t>TOTAL SALARY INCOME</t>
  </si>
  <si>
    <t>B</t>
  </si>
  <si>
    <t>HRA U/s 10(13A)</t>
  </si>
  <si>
    <t>a)Rent Paid</t>
  </si>
  <si>
    <t>Less: 10% of Basic+ DA</t>
  </si>
  <si>
    <t>b) HRA Paid</t>
  </si>
  <si>
    <t>Least of a,b and c</t>
  </si>
  <si>
    <t>GROSS INCOME (A - B)</t>
  </si>
  <si>
    <t>D</t>
  </si>
  <si>
    <t>VPF</t>
  </si>
  <si>
    <t>PPF</t>
  </si>
  <si>
    <t>MEP</t>
  </si>
  <si>
    <t>Calculation of PF Interest in excess of notified rate of 9.50% for the purpose of Income Tax Calculation</t>
  </si>
  <si>
    <t>P.F. No</t>
  </si>
  <si>
    <t>Year</t>
  </si>
  <si>
    <t>Pension Optee</t>
  </si>
  <si>
    <t>No</t>
  </si>
  <si>
    <t>Employees Contribution</t>
  </si>
  <si>
    <t>Banks contribution</t>
  </si>
  <si>
    <t>Voluntary PF</t>
  </si>
  <si>
    <t>PF Sub.</t>
  </si>
  <si>
    <t>Int @9.5%</t>
  </si>
  <si>
    <t>Diff</t>
  </si>
  <si>
    <t>Balance B/s</t>
  </si>
  <si>
    <t>Sub-Total</t>
  </si>
  <si>
    <t>Grand Total</t>
  </si>
  <si>
    <t>Gross Amount</t>
  </si>
  <si>
    <t>Qualifying Amount</t>
  </si>
  <si>
    <t>TAN</t>
  </si>
  <si>
    <t>From</t>
  </si>
  <si>
    <t>To</t>
  </si>
  <si>
    <t>DETAILS OF SALARY PAID AND ANY OTHER INCOME AND TAX DEDUCTED</t>
  </si>
  <si>
    <t>Deductible Amount</t>
  </si>
  <si>
    <t>Signature of the person responsible for deduction of tax</t>
  </si>
  <si>
    <t>Date:</t>
  </si>
  <si>
    <t>FORM NO 12BA</t>
  </si>
  <si>
    <t>{See Rule 26A(2)}</t>
  </si>
  <si>
    <t>Statement showing particulars of perquisites, other fringe benefits or amenities and profits in lieu of salary with value thereof:</t>
  </si>
  <si>
    <t>Nature of Perquisites</t>
  </si>
  <si>
    <t>Value of Perquisite as per rules</t>
  </si>
  <si>
    <t>Accomodation</t>
  </si>
  <si>
    <t>Sweeper, Gardener, watchman or personal attendant</t>
  </si>
  <si>
    <t>Gas, Electricity, water</t>
  </si>
  <si>
    <t>Interest free or concessional loans</t>
  </si>
  <si>
    <t>Holiday expenses</t>
  </si>
  <si>
    <t>Free or concessional travel</t>
  </si>
  <si>
    <t>Free Meals</t>
  </si>
  <si>
    <t>Education</t>
  </si>
  <si>
    <t>Gifts, Vouchers etc</t>
  </si>
  <si>
    <t>Credit Card expenses</t>
  </si>
  <si>
    <t>Club Expenses</t>
  </si>
  <si>
    <t>Use of movable assets by employees</t>
  </si>
  <si>
    <t>Transfer of assets to employees</t>
  </si>
  <si>
    <t>Stock options</t>
  </si>
  <si>
    <t>Total value of Perks</t>
  </si>
  <si>
    <t>DECLARATION BY EMPLOYER</t>
  </si>
  <si>
    <t>FULL NAME</t>
  </si>
  <si>
    <t>DESIGNATION</t>
  </si>
  <si>
    <t>Place</t>
  </si>
  <si>
    <t>Date</t>
  </si>
  <si>
    <t>Earnings Sheet</t>
  </si>
  <si>
    <t>Are you a Pension Optee [Yes/No]</t>
  </si>
  <si>
    <t>What is the rate of Interest on PF?</t>
  </si>
  <si>
    <t>If yes, value of furniture provided</t>
  </si>
  <si>
    <t>Employee provided with Car? [Yes/No]</t>
  </si>
  <si>
    <t>Employee provided with Chaffeur?</t>
  </si>
  <si>
    <t>Less than 1.6 litres [ Yes / No]</t>
  </si>
  <si>
    <t>More than 1.6 litres [ Yes / No]</t>
  </si>
  <si>
    <t>What is the engine capacity ?</t>
  </si>
  <si>
    <t>Is it used wholly and exclusively for Official purposes ? [ Yes / No ]</t>
  </si>
  <si>
    <t>Is it  used Partly for Official and partly for Personal /Private purpose? [Yes/No]</t>
  </si>
  <si>
    <t>For computing perks on Interest concession on loans, Furnish details</t>
  </si>
  <si>
    <t>Perks on Interest Concession Loans/Advances</t>
  </si>
  <si>
    <t>Amt of adhoc salary received</t>
  </si>
  <si>
    <t>Click here to return to Data Sheet</t>
  </si>
  <si>
    <t>Click to return to the Data Sheet</t>
  </si>
  <si>
    <t>Amount of Leave encashment</t>
  </si>
  <si>
    <t>LFC Difference in fares between First Class and actual fare incurred</t>
  </si>
  <si>
    <t>Entertainment allowance paid</t>
  </si>
  <si>
    <t>Does the employee owns a house property?[ Yes / No ]</t>
  </si>
  <si>
    <t>Housing Loan Availed [ Yes / No ]</t>
  </si>
  <si>
    <t>Date of availment of Housing Loan</t>
  </si>
  <si>
    <t>Yes</t>
  </si>
  <si>
    <t>Deductions under Chapter VI A</t>
  </si>
  <si>
    <t>Particulars</t>
  </si>
  <si>
    <t>Section</t>
  </si>
  <si>
    <t>LIC Pension Fund - Jeevan Suraksha</t>
  </si>
  <si>
    <t>80CCC</t>
  </si>
  <si>
    <t>80D</t>
  </si>
  <si>
    <t>Deduction in respect of rent paid by any assessee who is not in receipt of HRA u/s 10(13)A</t>
  </si>
  <si>
    <t>80GG</t>
  </si>
  <si>
    <t>80DD</t>
  </si>
  <si>
    <t>80 E</t>
  </si>
  <si>
    <t>Qualifying</t>
  </si>
  <si>
    <t>80U</t>
  </si>
  <si>
    <t>Amount Invested</t>
  </si>
  <si>
    <t>LIC Premia paid other than Salary Savings Scheme</t>
  </si>
  <si>
    <t>CPF on arrears, if any</t>
  </si>
  <si>
    <t>Contribution to 15 Years Public Provident Fund - PPF</t>
  </si>
  <si>
    <t>Contribution to an approved super annuation Fund</t>
  </si>
  <si>
    <t>National Savings Scheme, 1992</t>
  </si>
  <si>
    <t>Contribution to notified Pension fund setup by a Mutual Fund, Eg: Retirement Benefit Unit Scheme of UTI andKothari Pioneer Pension Plan of Kothari Mutual Fund</t>
  </si>
  <si>
    <t>Repayment of Housing Loan</t>
  </si>
  <si>
    <t>Subscription to Infra structure Bonds of IFCI, ICICI, IDBI, LIC, UTI</t>
  </si>
  <si>
    <t>Subscription to Units of Mutual fund which invests the whole of its subscription in the eligible issues of capital .</t>
  </si>
  <si>
    <t xml:space="preserve">Equity Linked Savings of UTI or any Mutual Fund. Eg MEP 2002 </t>
  </si>
  <si>
    <t>Relief Under Section 89 - Attach Details in a separate sheet</t>
  </si>
  <si>
    <t>Where the car is used wholly for private and personal purpose</t>
  </si>
  <si>
    <t>Is it used wholly for private and personal purpose? [Yes / No]</t>
  </si>
  <si>
    <t>Furnish Salary of the driver per month, if driver is provided</t>
  </si>
  <si>
    <t xml:space="preserve">Overdraft </t>
  </si>
  <si>
    <t>Notes on Treatment of Perks: Interest Free / Concessional Loans</t>
  </si>
  <si>
    <t>P.F.Number</t>
  </si>
  <si>
    <t>VPF Subsc.</t>
  </si>
  <si>
    <t>%</t>
  </si>
  <si>
    <t>Interest Rate</t>
  </si>
  <si>
    <t>Std. Int @9.5%</t>
  </si>
  <si>
    <t>Std Int @9.5%</t>
  </si>
  <si>
    <t>Std.Int @9.5%</t>
  </si>
  <si>
    <t>Closing Allowance Paid during the year</t>
  </si>
  <si>
    <t>Date of Purchase</t>
  </si>
  <si>
    <t>Total Interest</t>
  </si>
  <si>
    <t xml:space="preserve">Position as on </t>
  </si>
  <si>
    <t>Prior to 1 April 1999</t>
  </si>
  <si>
    <t>Amount of interest accruing on Certificate of Rs.1000 Denomination</t>
  </si>
  <si>
    <t>For NSC issued during</t>
  </si>
  <si>
    <t>Completed year in which interest is to be considered</t>
  </si>
  <si>
    <t>Notes:</t>
  </si>
  <si>
    <t>1.  Accrued interest on NSC is chargeable to tax as Income from Others Sources</t>
  </si>
  <si>
    <t>Back to Data Sheet</t>
  </si>
  <si>
    <t>Furnish the following allowances, if any</t>
  </si>
  <si>
    <t>Tribal Area Allowance</t>
  </si>
  <si>
    <t>Composite Hill compensatory allowance</t>
  </si>
  <si>
    <t>Border Area, Remote area, disturbed area</t>
  </si>
  <si>
    <t>DEDUCTIONS U/s 16</t>
  </si>
  <si>
    <t>Entertainment Allowance</t>
  </si>
  <si>
    <t>Interest On H/L - Other Agencies</t>
  </si>
  <si>
    <t>TOTAL EXEMPTIONS U/s 10</t>
  </si>
  <si>
    <t>Tax on Employment u/s 16(iii)</t>
  </si>
  <si>
    <t xml:space="preserve">TOTAL DEDUCTIONS </t>
  </si>
  <si>
    <t>GROSS TOTAL INCOME</t>
  </si>
  <si>
    <t>DEDUCTIONS U/S CHAPTER VI A</t>
  </si>
  <si>
    <t>Qualifying Amt</t>
  </si>
  <si>
    <t>Gross Amt</t>
  </si>
  <si>
    <t>Sections</t>
  </si>
  <si>
    <t>C</t>
  </si>
  <si>
    <t>TAX ON TOTAL INCOME</t>
  </si>
  <si>
    <t>No. of children  of the employee pursuing education during the assessment year.</t>
  </si>
  <si>
    <t>Edn. Expenses</t>
  </si>
  <si>
    <t>e)</t>
  </si>
  <si>
    <t>f)</t>
  </si>
  <si>
    <t>g)</t>
  </si>
  <si>
    <t>h)</t>
  </si>
  <si>
    <t>j)</t>
  </si>
  <si>
    <t>k)</t>
  </si>
  <si>
    <t>l)</t>
  </si>
  <si>
    <t>m)</t>
  </si>
  <si>
    <t>n)</t>
  </si>
  <si>
    <t>o)</t>
  </si>
  <si>
    <t>p)</t>
  </si>
  <si>
    <t>q)</t>
  </si>
  <si>
    <t>r)</t>
  </si>
  <si>
    <t>s)</t>
  </si>
  <si>
    <t>CPF on arrears</t>
  </si>
  <si>
    <t>Superannuation Fnd</t>
  </si>
  <si>
    <t>NSC VIII Issue</t>
  </si>
  <si>
    <t>Pension fund of MFs</t>
  </si>
  <si>
    <t>Home Loan A/c-NHB</t>
  </si>
  <si>
    <t>Housing Loan repayment</t>
  </si>
  <si>
    <t>Infrastructure bonds</t>
  </si>
  <si>
    <t>Units of MF investing in Infrastructure Development Bonds.</t>
  </si>
  <si>
    <t>LIC - [SSS+Direct]</t>
  </si>
  <si>
    <t>TAX DEDUCTED AT SOURCE U/S 192(1)</t>
  </si>
  <si>
    <t>PLACE</t>
  </si>
  <si>
    <t>Address of the Branch/Office.</t>
  </si>
  <si>
    <t>Name of the signatory to Form 16</t>
  </si>
  <si>
    <t>Designation of the signatory to Form 16</t>
  </si>
  <si>
    <t>PAN/GIR No. of Employee</t>
  </si>
  <si>
    <t>Interest on NSC</t>
  </si>
  <si>
    <t>(b)</t>
  </si>
  <si>
    <t>(d)</t>
  </si>
  <si>
    <t>Signature of</t>
  </si>
  <si>
    <t>PF on salary + VPF</t>
  </si>
  <si>
    <t>80G</t>
  </si>
  <si>
    <t>Place of employment</t>
  </si>
  <si>
    <t>Eligible investments for deductions under Sec 80 C</t>
  </si>
  <si>
    <t>Deductions under sec 80 C</t>
  </si>
  <si>
    <t>Investments u/s 80 C</t>
  </si>
  <si>
    <t>80 CCE</t>
  </si>
  <si>
    <t xml:space="preserve">80C </t>
  </si>
  <si>
    <t>Total of Deductions under Chapter VI A</t>
  </si>
  <si>
    <t>TOTAL TAXABLE INCOME</t>
  </si>
  <si>
    <t>ADD: SURCHARGE</t>
  </si>
  <si>
    <t>ADD: EDUCATION CESS</t>
  </si>
  <si>
    <t>TOTAL INCOME TAX PAYABLE</t>
  </si>
  <si>
    <t>N.S.S., 1992.</t>
  </si>
  <si>
    <t>t)</t>
  </si>
  <si>
    <t>Notified Term Deposits with a Scheduled Bank</t>
  </si>
  <si>
    <t>Housing Loan [ Term:&gt;10 years]</t>
  </si>
  <si>
    <t>NAME &amp; ADDRESS OF THE EMPLOYER</t>
  </si>
  <si>
    <t>NAME &amp; DESIGNATION OF THE EMPLOYEE</t>
  </si>
  <si>
    <t>(a)</t>
  </si>
  <si>
    <t>(c)</t>
  </si>
  <si>
    <t>Deductions:</t>
  </si>
  <si>
    <t>Section 80 C</t>
  </si>
  <si>
    <t>(ii)</t>
  </si>
  <si>
    <t>(iii)</t>
  </si>
  <si>
    <t>(iv)</t>
  </si>
  <si>
    <t>(v)</t>
  </si>
  <si>
    <t>(vi)</t>
  </si>
  <si>
    <t>Section 80 CCC</t>
  </si>
  <si>
    <t>Section 80 CCD</t>
  </si>
  <si>
    <t>Relief u/s Sec 89 (attach details)</t>
  </si>
  <si>
    <t>Period of Employment</t>
  </si>
  <si>
    <t>EXEMPTIONS U/s SEC 10</t>
  </si>
  <si>
    <t>Life Insurance Premium</t>
  </si>
  <si>
    <t>Public Provident Fund [PPF]</t>
  </si>
  <si>
    <t>(vii)</t>
  </si>
  <si>
    <t>(ix)</t>
  </si>
  <si>
    <t>(x)</t>
  </si>
  <si>
    <t>(xi)</t>
  </si>
  <si>
    <t>(xii)</t>
  </si>
  <si>
    <t>(xiii)</t>
  </si>
  <si>
    <t>(xiv)</t>
  </si>
  <si>
    <t>(xv)</t>
  </si>
  <si>
    <t>(xvi)</t>
  </si>
  <si>
    <t>Superannuation Fund</t>
  </si>
  <si>
    <t>Deposits with National Housing Bank</t>
  </si>
  <si>
    <t>Tuition fees for children</t>
  </si>
  <si>
    <t>(xvii)</t>
  </si>
  <si>
    <t>Provident Fund</t>
  </si>
  <si>
    <t>Sec 80 D</t>
  </si>
  <si>
    <t>Sec 80 DD</t>
  </si>
  <si>
    <t>Sec 80 E</t>
  </si>
  <si>
    <t>Donations</t>
  </si>
  <si>
    <t>Sec 80 G</t>
  </si>
  <si>
    <t>Sec 80 GG</t>
  </si>
  <si>
    <t>Rent paid by those not in receipt of HRA</t>
  </si>
  <si>
    <t>Sec 80 U</t>
  </si>
  <si>
    <t>Jeevan Dhara/Jeevan Akshay</t>
  </si>
  <si>
    <t>ULIP/Dhanraksha</t>
  </si>
  <si>
    <t>Notified Deferred Annuity Plan</t>
  </si>
  <si>
    <t>Subscription to Home Loan account of NHB, Housing Boards etc</t>
  </si>
  <si>
    <t>Tuition fees</t>
  </si>
  <si>
    <t>Unit Linked Insurance plan of UTI/LIC etc</t>
  </si>
  <si>
    <t>Notified Term Deposits with Scheduled Banks</t>
  </si>
  <si>
    <t>Deductions for Donations made</t>
  </si>
  <si>
    <t>Specify if you are eligible for deductions under the following sections</t>
  </si>
  <si>
    <t>80E</t>
  </si>
  <si>
    <t>80 U</t>
  </si>
  <si>
    <t>E</t>
  </si>
  <si>
    <t>INCOME TAX READY RECKONER [ITRR]</t>
  </si>
  <si>
    <t>THIS UTILITY IS AVAILABLE FREE</t>
  </si>
  <si>
    <t>Purpose:</t>
  </si>
  <si>
    <t>This utility enables generation of Form 16, Form 12BA, Perks calculation etc</t>
  </si>
  <si>
    <t>Pre-requisites:</t>
  </si>
  <si>
    <t>It is required that security level is set at medium for proper running of the macros.  This may be</t>
  </si>
  <si>
    <t>checked from Tools - Macro - Security Options.  If while opening the ITRR, systems asks</t>
  </si>
  <si>
    <r>
      <t xml:space="preserve">whether to disable or enable the macro, please click on </t>
    </r>
    <r>
      <rPr>
        <b/>
        <sz val="10"/>
        <rFont val="Arial"/>
        <family val="2"/>
      </rPr>
      <t xml:space="preserve">Enable Macro </t>
    </r>
    <r>
      <rPr>
        <sz val="10"/>
        <rFont val="Arial"/>
        <family val="2"/>
      </rPr>
      <t>option.</t>
    </r>
  </si>
  <si>
    <t xml:space="preserve">Before using the ITRR, Go to Tools - Add ins, check the options Analysis Tool Pak, </t>
  </si>
  <si>
    <t>Analysis Tool Pak - VBA</t>
  </si>
  <si>
    <t>IMPORTANT INSTRUCTIONS FOR USING THE ITRR UTILITY</t>
  </si>
  <si>
    <t>columns and sheets which should not be unhidden.</t>
  </si>
  <si>
    <t>loss of validations / formulae provided for cells.</t>
  </si>
  <si>
    <t xml:space="preserve">1. Please do not make any change in the format of the file.  There are some hidden rows, </t>
  </si>
  <si>
    <t xml:space="preserve">2.Do not use paste data from other sources in the file in such a fashion which may result in </t>
  </si>
  <si>
    <t>list only</t>
  </si>
  <si>
    <t>4. If the drop down list has been provided for any row, then the value should be picked from the given</t>
  </si>
  <si>
    <t>5. The Utility consists of 9 worksheets other than the guidelines sheet</t>
  </si>
  <si>
    <t xml:space="preserve">6. To start with, the user create a folder in C:/ or D:/ </t>
  </si>
  <si>
    <t>as Mr. X, Mr.Y to contain the details of individual employees.</t>
  </si>
  <si>
    <t>8.  For each Individual File, the Data Sheet should be first filled in, starting with the name of the</t>
  </si>
  <si>
    <t xml:space="preserve">employee.  The data sheet is like a questionairre eliciting all relevant information.  All the rows must </t>
  </si>
  <si>
    <t>option should be exercised wherever needed.  If the answer is "Yes", select "Yes" from theList or</t>
  </si>
  <si>
    <t>"No".  No row should be left unanswered.</t>
  </si>
  <si>
    <t xml:space="preserve">9.  The next sheet to be filled in is the Earnings Sheet.  There is a link in the Data Sheet. If the </t>
  </si>
  <si>
    <t>link is clicked, it will take the user to the Earnings Sheet.  In the earnings sheet, all the particulars</t>
  </si>
  <si>
    <t>of salary should be given for each month. Likewise the details of IT deducted and remitted particulars</t>
  </si>
  <si>
    <t>should be given so as to incorporate the same in the Form 16.</t>
  </si>
  <si>
    <t>10.  Under NSC particulars in Data sheet, link has been provided to go to NSC Interest Accrual</t>
  </si>
  <si>
    <t>Sheet.  In NSC Interest Accrual Sheet, the date and amount invested alone should be entered.</t>
  </si>
  <si>
    <t xml:space="preserve">The rate of Interest and Interest amount will be calculated and returned to the Computation sheet </t>
  </si>
  <si>
    <t>automatically.</t>
  </si>
  <si>
    <t>upon entering the data in the aforesaid worksheets, namely Data Sheet,Earnings Sheet and NSC</t>
  </si>
  <si>
    <t>Interest Accrual Sheet.</t>
  </si>
  <si>
    <t xml:space="preserve">should be obtained, duly signed by the employee and held on record.  It will serve as the base </t>
  </si>
  <si>
    <t>for the Data Sheet.</t>
  </si>
  <si>
    <t>branch / office for Office records.</t>
  </si>
  <si>
    <t>DISCLAIMER:</t>
  </si>
  <si>
    <t>While using the ITRR, if you come across any difficulty or you require any clarification, you may</t>
  </si>
  <si>
    <t>O.D.KAMALAKANNAN</t>
  </si>
  <si>
    <t xml:space="preserve">This ITRR is property of the undersigned.  </t>
  </si>
  <si>
    <t>The author does not assume any responsibility in respect of performance or output of the ITRR in any manner.</t>
  </si>
  <si>
    <t>12.  For calculating Perks on loans, the Perks on loans worksheet has to be filled in. Detailed</t>
  </si>
  <si>
    <t>guidelines have been given in the same sheet. Please be guided accordingly.</t>
  </si>
  <si>
    <t>12.  The computation sheet, Form 16, Form 12BA, Perks on loans, Perks Sheet will be ready</t>
  </si>
  <si>
    <t xml:space="preserve">13.  A copy of the Declaration Sheet to be furnished by the employee is enclosed herewith.  It </t>
  </si>
  <si>
    <t xml:space="preserve">14.  A copy of the Data sheet duly signed by the employee should also be held on record at the </t>
  </si>
  <si>
    <t>ACKNOWLEDGEMENT</t>
  </si>
  <si>
    <t>Is it for Repairs/Renovation/alteration?</t>
  </si>
  <si>
    <t>Sum Assured</t>
  </si>
  <si>
    <t>P.A.N</t>
  </si>
  <si>
    <t>P.F.No</t>
  </si>
  <si>
    <t>Department</t>
  </si>
  <si>
    <t>Branch</t>
  </si>
  <si>
    <t>Salary Ward/Circle</t>
  </si>
  <si>
    <t>The Branch Manager/Chief Manager</t>
  </si>
  <si>
    <t>Investment / Deduction Claimed</t>
  </si>
  <si>
    <t>Under Sec</t>
  </si>
  <si>
    <t>Amount of investment proposed / Deduction claimed.</t>
  </si>
  <si>
    <t>Direct payment of LIC premium</t>
  </si>
  <si>
    <t>Public Provident Fund</t>
  </si>
  <si>
    <t>Notified Securities / Deposits of Central Government</t>
  </si>
  <si>
    <t>Equity linked Savings Scheme of UTI/LIC/Mutual Funds, etc ELSS</t>
  </si>
  <si>
    <t>Direct contribution to Home Loan account</t>
  </si>
  <si>
    <t>Repayment of Principal Housing Loan [ Excluding interest]*</t>
  </si>
  <si>
    <t>Tuition fee [ Excluding any payment towards any development fees/ donations or payment of similar nature to anyUniversity / College / School]</t>
  </si>
  <si>
    <t>Stamp Duty/ Registration fes and other expenses for the purpose of transfer of House property</t>
  </si>
  <si>
    <t>NSS 1992</t>
  </si>
  <si>
    <t>Unit linked Insurance plan of UTI/LIC Mutual Fund, Dhanraksha, 1989</t>
  </si>
  <si>
    <t xml:space="preserve">Master Equity Plan of UTI/LIC </t>
  </si>
  <si>
    <t>Annuity of Insurance Company</t>
  </si>
  <si>
    <t>Pension Funds of Mutual Funds</t>
  </si>
  <si>
    <t>Infra structure Bonds of ICICI, IFCI</t>
  </si>
  <si>
    <t>Units of Mutual Funds investing in Infra Structure Bonds</t>
  </si>
  <si>
    <t xml:space="preserve">New Jeevan Dhara /New Jeevan Akshay- Deferred Annuity Plan </t>
  </si>
  <si>
    <t>Others eligible Deduction (specify)</t>
  </si>
  <si>
    <t>Subscription to Pension Fund - Jeevan Suraksha of LIC etc.</t>
  </si>
  <si>
    <t>Donations to ________________________________________ in respect of which DDO of the Bank is allowed by CBDT for deduction</t>
  </si>
  <si>
    <t>Deduction in the case of employee with disability Rs.50,000 severe disability - Rs.75,000.</t>
  </si>
  <si>
    <t>80C</t>
  </si>
  <si>
    <t>Post Office Savings Deposits in 10 years or 15 years account under Post Office Savings Bank Rules 1959.</t>
  </si>
  <si>
    <t>80DDB</t>
  </si>
  <si>
    <t>I give below the details of NSCs purchased during the previous /current year for calculating the interest on NSC due for deduction u/s 80C</t>
  </si>
  <si>
    <t>Date of purchase</t>
  </si>
  <si>
    <t>Total Amount</t>
  </si>
  <si>
    <t>No.of Certificates</t>
  </si>
  <si>
    <t xml:space="preserve">Nature of Loan </t>
  </si>
  <si>
    <t>Remarks</t>
  </si>
  <si>
    <t>To enable the bank to compute Perks on loans, I give below the details of my various loan accounts</t>
  </si>
  <si>
    <t>I request you to take the investments made under relevant sections of the Income tax and accord the eligible Deduction / Exemption.</t>
  </si>
  <si>
    <t>I further declare that the information given herein above is correct and complete.</t>
  </si>
  <si>
    <t>[Employee Signature]</t>
  </si>
  <si>
    <t>For office use only</t>
  </si>
  <si>
    <t>Receipt Date</t>
  </si>
  <si>
    <t>Proof submitted date:</t>
  </si>
  <si>
    <t>Form 16/Form 12BA Issued Date</t>
  </si>
  <si>
    <t>Received Form 16 and Form 12BA</t>
  </si>
  <si>
    <t>[signature of employee]</t>
  </si>
  <si>
    <t>DETAILS OF LIFE INSURANCE POLICIES WHERE PREMIA IS PAID SEPARATELY.</t>
  </si>
  <si>
    <t>Policy Number</t>
  </si>
  <si>
    <t>Sum assured</t>
  </si>
  <si>
    <t>Mode of remittance</t>
  </si>
  <si>
    <t>Premia</t>
  </si>
  <si>
    <t>Total Premia</t>
  </si>
  <si>
    <t>Name of assured</t>
  </si>
  <si>
    <r>
      <t xml:space="preserve">15. As the Premium amount ranking for deduction is pegged @ 20% of the sum assured,the declaration should contain the sum assured for all policies where LIP is paid by the Assessee and in respect of Salary Savings Scheme also the sum assured has to be provided in the Data sheet.  </t>
    </r>
    <r>
      <rPr>
        <b/>
        <sz val="10"/>
        <rFont val="Arial"/>
        <family val="2"/>
      </rPr>
      <t>please note that if sum assured is not provided the LIP will not be taken by the reckoner for deduction under 80 c.</t>
    </r>
  </si>
  <si>
    <t>Int @9%</t>
  </si>
  <si>
    <t>SERIAL NUMBER OF FORM 16</t>
  </si>
  <si>
    <t>State the Population density of the place of working</t>
  </si>
  <si>
    <r>
      <t xml:space="preserve">If </t>
    </r>
    <r>
      <rPr>
        <b/>
        <u/>
        <sz val="11"/>
        <rFont val="BOOK ANTIQUA"/>
        <family val="1"/>
      </rPr>
      <t>"Yes"</t>
    </r>
    <r>
      <rPr>
        <sz val="11"/>
        <rFont val="Book Antiqua"/>
        <family val="1"/>
      </rPr>
      <t xml:space="preserve"> for the above, </t>
    </r>
    <r>
      <rPr>
        <b/>
        <u/>
        <sz val="11"/>
        <rFont val="BOOK ANTIQUA"/>
        <family val="1"/>
      </rPr>
      <t>state the rent paid by the Bank</t>
    </r>
    <r>
      <rPr>
        <sz val="11"/>
        <rFont val="Book Antiqua"/>
        <family val="1"/>
      </rPr>
      <t xml:space="preserve"> for the leased Quarters</t>
    </r>
  </si>
  <si>
    <r>
      <t xml:space="preserve">Is the Quarters taken on </t>
    </r>
    <r>
      <rPr>
        <b/>
        <u/>
        <sz val="11"/>
        <rFont val="BOOK ANTIQUA"/>
        <family val="1"/>
      </rPr>
      <t>lease in the personal name</t>
    </r>
    <r>
      <rPr>
        <sz val="11"/>
        <rFont val="Book Antiqua"/>
        <family val="1"/>
      </rPr>
      <t xml:space="preserve"> of the Employee and rent paid/reimbursed by the Bank</t>
    </r>
  </si>
  <si>
    <r>
      <t xml:space="preserve">If </t>
    </r>
    <r>
      <rPr>
        <b/>
        <u/>
        <sz val="11"/>
        <rFont val="BOOK ANTIQUA"/>
        <family val="1"/>
      </rPr>
      <t>"Yes"</t>
    </r>
    <r>
      <rPr>
        <sz val="11"/>
        <rFont val="Book Antiqua"/>
        <family val="1"/>
      </rPr>
      <t xml:space="preserve"> for the above, state the </t>
    </r>
    <r>
      <rPr>
        <b/>
        <u/>
        <sz val="11"/>
        <rFont val="BOOK ANTIQUA"/>
        <family val="1"/>
      </rPr>
      <t xml:space="preserve">rent paid by the employee </t>
    </r>
    <r>
      <rPr>
        <sz val="11"/>
        <rFont val="Book Antiqua"/>
        <family val="1"/>
      </rPr>
      <t xml:space="preserve">or </t>
    </r>
    <r>
      <rPr>
        <b/>
        <u/>
        <sz val="11"/>
        <rFont val="BOOK ANTIQUA"/>
        <family val="1"/>
      </rPr>
      <t>reimbursed by the Bank</t>
    </r>
  </si>
  <si>
    <t>Valuation of Residential Accomodation provided (Banks own quarters and Standard rent recovered)</t>
  </si>
  <si>
    <t>Valuation of Residential Accomodation leased by the Bank and rent paid by the Bank</t>
  </si>
  <si>
    <t>Less: House Rent Recovery</t>
  </si>
  <si>
    <t>Actual Rent Paid ……(A)</t>
  </si>
  <si>
    <t>Lower of "A" and "B"</t>
  </si>
  <si>
    <t>Accomodation perks on Leased Qtrs</t>
  </si>
  <si>
    <t>&gt; 25 lakhs</t>
  </si>
  <si>
    <t>be answered. Offline help is provided by way of messages while traversing the cells.  List box</t>
  </si>
  <si>
    <t xml:space="preserve">Mediclaim - Self </t>
  </si>
  <si>
    <t>Mediclaim for Parent</t>
  </si>
  <si>
    <t>Age of Parent</t>
  </si>
  <si>
    <t>Investments under the Senior Citizens Savings Scheme Rules, 2004</t>
  </si>
  <si>
    <t>5 year deposits under the Post Offie Time Deposit Rules, 2001</t>
  </si>
  <si>
    <t>Investments under Senior Citizens Savings Scheme Rules, 2004.</t>
  </si>
  <si>
    <t>u)</t>
  </si>
  <si>
    <t>v)</t>
  </si>
  <si>
    <t>Deposits under Senior Citizen Scheme, 2004</t>
  </si>
  <si>
    <t>2.  Accrued interest is also eligible for deduction u/s 80-C</t>
  </si>
  <si>
    <t>3. Interest for Year VI is not eligible for rebate u/s 80-C</t>
  </si>
  <si>
    <t xml:space="preserve"> MANAGER, </t>
  </si>
  <si>
    <t>UNION BANK OF INDIA</t>
  </si>
  <si>
    <t>In exercise of the powers conferred by section 295 read with sub-section (2) of section 17 of the Income-tax Act, 1961 (43 of 1961), the Central Board of Direct Taxes has amended IT Act, Income Tax (13th Amendment) Rules 2009 - Substituion of Rule 3 and insertion of Rule 4 of Notification No. 94/2009/ F.No.142/25/2009-S O (TPL), dated 18-12-2009 vide which the value of perquisite in respect of use of motor car will be taxed in the hands of the employee. This comes into force from 1.4.2009 onwards.</t>
  </si>
  <si>
    <t>Performance incentive</t>
  </si>
  <si>
    <t>contact the undersigned at his mailbox</t>
  </si>
  <si>
    <t xml:space="preserve">Performance incentive received </t>
  </si>
  <si>
    <t>Percentage of Disability</t>
  </si>
  <si>
    <t>Actual Expenditure incurred for medical treatment of Self/Dependent relative suffering from terminal diseases like Cancer, AIDS, Renal failure, etc</t>
  </si>
  <si>
    <t>Contribution to Central Govt Pension/New Pension Scheme.</t>
  </si>
  <si>
    <t>80CCF</t>
  </si>
  <si>
    <t>Any expenditure for Medical, Nursing and Rehabilitation incurred on dependent relative suffering from permanent Physical Disability and Autism, Cerebral Palsy and Multiple Disability and also Deposits made under LIC,UTI's Scheme and other Private Insurers for the benefit of Physically Handicapped dependent</t>
  </si>
  <si>
    <t>Deductions for persons suffering from Permanent Physical disability as specified in Rule 11D and includes Autism, Cerebral Palsy, Multiple Disability, Person with Disability and Severe Disability.</t>
  </si>
  <si>
    <t>Amount of IT deducted on Arrears</t>
  </si>
  <si>
    <t>Arrears</t>
  </si>
  <si>
    <t>Sec 80 DDB</t>
  </si>
  <si>
    <t>Date on which Form 16 is issued</t>
  </si>
  <si>
    <t>Conveyance Loan (2 wheeler)</t>
  </si>
  <si>
    <t>Conveyance - 4 wheeler</t>
  </si>
  <si>
    <r>
      <t xml:space="preserve">Repayment of Int on loan taken for higher studies (self) and for dependent children. (For </t>
    </r>
    <r>
      <rPr>
        <b/>
        <u/>
        <sz val="9"/>
        <rFont val="Book Antiqua"/>
        <family val="1"/>
      </rPr>
      <t>a maximum period of 8 years only)</t>
    </r>
  </si>
  <si>
    <t>Less: Interest on Housing Loan (Sec 24(I))</t>
  </si>
  <si>
    <t>Deduction u/s 24(I) - Interest on Housing Loan</t>
  </si>
  <si>
    <t>80CCD(i)</t>
  </si>
  <si>
    <t>Matching contribution made by the Employer to the Pension account of Individual (Notified Pension Scheme) (upto 10% of salary)</t>
  </si>
  <si>
    <t>80CCD(ii)</t>
  </si>
  <si>
    <t>Chennai</t>
  </si>
  <si>
    <t>Amount of reimbursement made by the Bank for the travel undertaken for any place outside India during the financial year.</t>
  </si>
  <si>
    <t>Reimbursement made for the Travel outside India- Taxable</t>
  </si>
  <si>
    <t xml:space="preserve">Special Pay </t>
  </si>
  <si>
    <t>CERTIFICATE UNDER SECTION 203 OF THE INCOME TAX ACT, 1961 FOR TAX DEDUCTED AT SOURCE ON SALARY</t>
  </si>
  <si>
    <t>PART - A</t>
  </si>
  <si>
    <t>PAN OF THE DEDUCTOR</t>
  </si>
  <si>
    <t>TAN OF THE DEDUCTOR</t>
  </si>
  <si>
    <t>PAN OF THE EMPLOYEE</t>
  </si>
  <si>
    <t>Period</t>
  </si>
  <si>
    <t>Address</t>
  </si>
  <si>
    <t>City</t>
  </si>
  <si>
    <t>Pincode</t>
  </si>
  <si>
    <t>SUMMARY OF TAX DEDUCTED AT SOURCE</t>
  </si>
  <si>
    <t>Quarter</t>
  </si>
  <si>
    <t>Receipt Numbers of Original statements of TDS under Sub-Sec (3) of Section 200.</t>
  </si>
  <si>
    <t>Amount of tax deducted in respect of the employee</t>
  </si>
  <si>
    <t>Amount of tax deposited/remitted in respect of the employee</t>
  </si>
  <si>
    <t>Quarter 1</t>
  </si>
  <si>
    <t>Quarter 2</t>
  </si>
  <si>
    <t>Quarter 3</t>
  </si>
  <si>
    <t>Quarter 4</t>
  </si>
  <si>
    <r>
      <rPr>
        <b/>
        <u/>
        <sz val="10"/>
        <color indexed="8"/>
        <rFont val="Trebuchet MS"/>
        <family val="2"/>
      </rPr>
      <t>PART-B</t>
    </r>
    <r>
      <rPr>
        <u/>
        <sz val="10"/>
        <color indexed="8"/>
        <rFont val="Trebuchet MS"/>
        <family val="2"/>
      </rPr>
      <t xml:space="preserve"> </t>
    </r>
    <r>
      <rPr>
        <sz val="10"/>
        <color indexed="8"/>
        <rFont val="Trebuchet MS"/>
        <family val="2"/>
      </rPr>
      <t>(Refer Note 1)</t>
    </r>
  </si>
  <si>
    <t>Salary as per provisions contained in Sec 17(1)</t>
  </si>
  <si>
    <t>Value of perquisites u/s 18(2) (as per Form No.12BA,wherever applicable)</t>
  </si>
  <si>
    <t xml:space="preserve">(c) </t>
  </si>
  <si>
    <t>Profits in lieu of salary under Section 17(3) (as per Form No.12BB, wherever applicable)</t>
  </si>
  <si>
    <r>
      <t>Less:</t>
    </r>
    <r>
      <rPr>
        <sz val="10"/>
        <color indexed="8"/>
        <rFont val="Trebuchet MS"/>
        <family val="2"/>
      </rPr>
      <t xml:space="preserve"> Allowance to the extent exempt u/s 10</t>
    </r>
  </si>
  <si>
    <t>Allowance</t>
  </si>
  <si>
    <t>Amount</t>
  </si>
  <si>
    <t>H.R.A U/s 10(13A)</t>
  </si>
  <si>
    <t>Conveyance/Transport Allowance</t>
  </si>
  <si>
    <t>Total of Allowance</t>
  </si>
  <si>
    <t>Balance (1 -2)</t>
  </si>
  <si>
    <t>Tax on Employment (Prof. Tax)</t>
  </si>
  <si>
    <t>Income chargeable under the head Salaries (3-5)</t>
  </si>
  <si>
    <t>Add: Any other income reported by the employee</t>
  </si>
  <si>
    <t>Head of Income</t>
  </si>
  <si>
    <t>Income from House Property</t>
  </si>
  <si>
    <t>Interest accrued on N.S.C</t>
  </si>
  <si>
    <t>Total of "Other Income"</t>
  </si>
  <si>
    <t>GROSS TOTAL INCOME (6 + 7)</t>
  </si>
  <si>
    <t xml:space="preserve">DEDUCTIONS UNDER CHAPTER VI (A)              </t>
  </si>
  <si>
    <t>A</t>
  </si>
  <si>
    <t>Sec 80 CCE [80C, 80 CCC, 80 CCD]</t>
  </si>
  <si>
    <t>(i)</t>
  </si>
  <si>
    <t>ULIP of LIC / Unit Trust of India</t>
  </si>
  <si>
    <t>Viii)</t>
  </si>
  <si>
    <t>Subscription to units of Mutual Funds</t>
  </si>
  <si>
    <t>Pension Fund of Mutual Funds /UTI</t>
  </si>
  <si>
    <t>Housing Loan Principal Repayment</t>
  </si>
  <si>
    <t>Term Deposits with Scheduled Bank (&gt;5 Years)</t>
  </si>
  <si>
    <t>Stamp Duty &amp; Registration Fees</t>
  </si>
  <si>
    <t>Any other eligible deductions u/s 80 C</t>
  </si>
  <si>
    <t xml:space="preserve">(d) </t>
  </si>
  <si>
    <t>Section 80 CCF</t>
  </si>
  <si>
    <t>OTHER SECTIONS (80E, 80G etc) Under Chapter VI A</t>
  </si>
  <si>
    <t>Mediclaim Insurance Policy</t>
  </si>
  <si>
    <t>Medical treatment for Handicapped</t>
  </si>
  <si>
    <t>Actual exp for med. Treatment for terminal diseases</t>
  </si>
  <si>
    <t>Interest on Education loans repayment</t>
  </si>
  <si>
    <t>Handicapped Resident</t>
  </si>
  <si>
    <t>Aggregate of deductible amounts under Chapter VI A</t>
  </si>
  <si>
    <t>TOTAL INCOME ( 8 - 10)</t>
  </si>
  <si>
    <t>VERIFICATION</t>
  </si>
  <si>
    <t>Name of the Official</t>
  </si>
  <si>
    <t>ANNEXURE - B</t>
  </si>
  <si>
    <t>DETAILS OF TAX DEDUCTED AND DEPOSITED IN THE CENTRAL GOVERNMENT ACCOUNT THROUGH CHALLAN</t>
  </si>
  <si>
    <t>(The Employer to provide payment wise details of tax deducted and deposited with respect to the employee)</t>
  </si>
  <si>
    <t>Tax Deposited in respect of the employee</t>
  </si>
  <si>
    <t>CHALLAN IDENTIFICATION NUMBER (CIN) DETAILS</t>
  </si>
  <si>
    <t>BSR Code of the Bank Branch</t>
  </si>
  <si>
    <t>Date on which tax deposited (dd/mm/yyyy)</t>
  </si>
  <si>
    <t>Challan Serial Number</t>
  </si>
  <si>
    <t>TOTAL</t>
  </si>
  <si>
    <t>Address of Commissioner of Income Tax (TDS)</t>
  </si>
  <si>
    <t>BSR Code of Bank Branch where Income tax is remitted</t>
  </si>
  <si>
    <t>States</t>
  </si>
  <si>
    <t>Address of CIT(TDS)</t>
  </si>
  <si>
    <t>Haryana</t>
  </si>
  <si>
    <t>Punjab</t>
  </si>
  <si>
    <t>Himachal Pradesh</t>
  </si>
  <si>
    <t>Jammu &amp; Kashmir</t>
  </si>
  <si>
    <t>Chandigarh</t>
  </si>
  <si>
    <t>Gujarat</t>
  </si>
  <si>
    <t>Daman &amp; Diu</t>
  </si>
  <si>
    <t>Dadar &amp; Nagar Haveli</t>
  </si>
  <si>
    <t>Rajasthan</t>
  </si>
  <si>
    <t>Meghalaya</t>
  </si>
  <si>
    <t>Assam</t>
  </si>
  <si>
    <t>Arunachal Pradesh</t>
  </si>
  <si>
    <t>Manipur</t>
  </si>
  <si>
    <t>Mizoram</t>
  </si>
  <si>
    <t>Nagaland</t>
  </si>
  <si>
    <t>Sikkim</t>
  </si>
  <si>
    <t>Tiripura</t>
  </si>
  <si>
    <t>Bihar</t>
  </si>
  <si>
    <t>Jharkhand</t>
  </si>
  <si>
    <t>Andhra Pradesh</t>
  </si>
  <si>
    <t>Tamilnadu</t>
  </si>
  <si>
    <t>Pondicherry</t>
  </si>
  <si>
    <t>Kerala</t>
  </si>
  <si>
    <t>Lakshadweep</t>
  </si>
  <si>
    <t>Madhya Pradesh</t>
  </si>
  <si>
    <t>Chhatisgarh</t>
  </si>
  <si>
    <t>Odissa</t>
  </si>
  <si>
    <t>Delhi</t>
  </si>
  <si>
    <t>Maharashtra-I</t>
  </si>
  <si>
    <t>Maharashtra-II</t>
  </si>
  <si>
    <t>Maharashtra-III</t>
  </si>
  <si>
    <t>Uttar Pradesh-I</t>
  </si>
  <si>
    <t>Uttar Pradesh-II</t>
  </si>
  <si>
    <t>The Commissioner of Income Tax (TDS)</t>
  </si>
  <si>
    <t>C.R.Building, Sector 17-E, Himalaya Marg</t>
  </si>
  <si>
    <t>160 017</t>
  </si>
  <si>
    <t>Room No.201, 2nd floor, Navjivan Trust Building, B/H Gujarat Vidhyapith, Ashram</t>
  </si>
  <si>
    <t>Ahmedabad</t>
  </si>
  <si>
    <t>380 014</t>
  </si>
  <si>
    <t>New Central Revenue Building, Statue Circle,Janpath</t>
  </si>
  <si>
    <t>Jaipur</t>
  </si>
  <si>
    <t>302 005</t>
  </si>
  <si>
    <t>Saikia Commercial Complex, Shillong Road</t>
  </si>
  <si>
    <t>Guwahati</t>
  </si>
  <si>
    <t>731 005</t>
  </si>
  <si>
    <t>C.R.Building, 2nd Floor, Bir Chand Patel Marg</t>
  </si>
  <si>
    <t>Patna</t>
  </si>
  <si>
    <t>800 001</t>
  </si>
  <si>
    <t>Hyderabad</t>
  </si>
  <si>
    <t>500 004</t>
  </si>
  <si>
    <t>7th Floor, New  Block, Aayakar Bhawan, 121, Uttamar Gandhi Salai</t>
  </si>
  <si>
    <t>600 034</t>
  </si>
  <si>
    <t>C.R.Building, I.S.Press Road,</t>
  </si>
  <si>
    <t>682 018</t>
  </si>
  <si>
    <t>Kochi</t>
  </si>
  <si>
    <t>Aayakar Bhawan, Hoshangabad Road,</t>
  </si>
  <si>
    <t>Bhopal</t>
  </si>
  <si>
    <t>462 011</t>
  </si>
  <si>
    <t xml:space="preserve">5th Floor, Aayakar Bhawan, Rajaswa Vihar, </t>
  </si>
  <si>
    <t>Bhubaneshwar</t>
  </si>
  <si>
    <t>751 007</t>
  </si>
  <si>
    <t>Aayakar Bhawan, District Centre, 4th floor, Luxmi Nagar</t>
  </si>
  <si>
    <t>110 092</t>
  </si>
  <si>
    <t>Pune</t>
  </si>
  <si>
    <t>440 001</t>
  </si>
  <si>
    <t>Nagpur</t>
  </si>
  <si>
    <t>Mumbai</t>
  </si>
  <si>
    <t>Kanpur</t>
  </si>
  <si>
    <t>208 001</t>
  </si>
  <si>
    <t>16/69, Aayakar Bhawan, Civil Lines,</t>
  </si>
  <si>
    <t>Lucknow</t>
  </si>
  <si>
    <t>Employees of Maharashtra &amp; Uttar Pradesh, select the appropriate State after selecting the Jurisdictional District.</t>
  </si>
  <si>
    <t>Jurisdictional District</t>
  </si>
  <si>
    <t>State</t>
  </si>
  <si>
    <t>Agra</t>
  </si>
  <si>
    <t>Aligarh</t>
  </si>
  <si>
    <t>Auraiya</t>
  </si>
  <si>
    <t>Bagpat</t>
  </si>
  <si>
    <t>Banda</t>
  </si>
  <si>
    <t>Bulandshahar</t>
  </si>
  <si>
    <t>Chitrakoot</t>
  </si>
  <si>
    <t>Etah</t>
  </si>
  <si>
    <t>Etawah</t>
  </si>
  <si>
    <t>Farukkabad</t>
  </si>
  <si>
    <t>Firozabad</t>
  </si>
  <si>
    <t>Ghaziabad</t>
  </si>
  <si>
    <t>Gautam Buddha Nagar (Noida)</t>
  </si>
  <si>
    <t>Haldwani</t>
  </si>
  <si>
    <t>Hamirpur</t>
  </si>
  <si>
    <t>Hathras</t>
  </si>
  <si>
    <t>Jalaun (Orai)</t>
  </si>
  <si>
    <t>Jhansi</t>
  </si>
  <si>
    <t>Kannauj</t>
  </si>
  <si>
    <t>Kanpur Dehat</t>
  </si>
  <si>
    <t>Kanpur Nagar</t>
  </si>
  <si>
    <t>Kasganj</t>
  </si>
  <si>
    <t>Lalitpur</t>
  </si>
  <si>
    <t>Mainpuri</t>
  </si>
  <si>
    <t>Mathura</t>
  </si>
  <si>
    <t>Meerut</t>
  </si>
  <si>
    <t>Mhoba</t>
  </si>
  <si>
    <t>Muzaffarnagar</t>
  </si>
  <si>
    <t>Shamli</t>
  </si>
  <si>
    <t>Deoband</t>
  </si>
  <si>
    <t>Khatauli</t>
  </si>
  <si>
    <t>Saharanpur</t>
  </si>
  <si>
    <t>Allahabad</t>
  </si>
  <si>
    <t>Azamgarh</t>
  </si>
  <si>
    <t>Badaun</t>
  </si>
  <si>
    <t>Bahraich</t>
  </si>
  <si>
    <t>Ballia</t>
  </si>
  <si>
    <t>Balrampur</t>
  </si>
  <si>
    <t>Barabanki</t>
  </si>
  <si>
    <t>Bareilly</t>
  </si>
  <si>
    <t>Basti</t>
  </si>
  <si>
    <t>Bhadohi</t>
  </si>
  <si>
    <t>Bijnor</t>
  </si>
  <si>
    <t>Chandauli</t>
  </si>
  <si>
    <t>Doria</t>
  </si>
  <si>
    <t>Fatehpur</t>
  </si>
  <si>
    <t>Ghazipur</t>
  </si>
  <si>
    <t>Gonda</t>
  </si>
  <si>
    <t>Gorakhpur</t>
  </si>
  <si>
    <t>Hardoi</t>
  </si>
  <si>
    <t>Jaunpur</t>
  </si>
  <si>
    <t>Kashipur</t>
  </si>
  <si>
    <t>Kaushambi</t>
  </si>
  <si>
    <t>Khatima</t>
  </si>
  <si>
    <t>Kushinagar</t>
  </si>
  <si>
    <t>Lakhimpur</t>
  </si>
  <si>
    <t>Maharajganj</t>
  </si>
  <si>
    <t>Mau</t>
  </si>
  <si>
    <t>Mirzapur</t>
  </si>
  <si>
    <t>Moradabad</t>
  </si>
  <si>
    <t>Najibabad</t>
  </si>
  <si>
    <t>Pilibhit</t>
  </si>
  <si>
    <t>Pratapgarh</t>
  </si>
  <si>
    <t>Rae Bareilli</t>
  </si>
  <si>
    <t>Rampur</t>
  </si>
  <si>
    <t>Sambhal</t>
  </si>
  <si>
    <t>Sant Kabir Nagar</t>
  </si>
  <si>
    <t>Shahjahanpur</t>
  </si>
  <si>
    <t>Siddharthnagar</t>
  </si>
  <si>
    <t>Sitapur</t>
  </si>
  <si>
    <t>Sonbhadra</t>
  </si>
  <si>
    <t>Sultanpur</t>
  </si>
  <si>
    <t>Unnao</t>
  </si>
  <si>
    <t>Ahmednagar</t>
  </si>
  <si>
    <t>Aurangabad</t>
  </si>
  <si>
    <t>Beed</t>
  </si>
  <si>
    <t>Dhule</t>
  </si>
  <si>
    <t>Jalgaon</t>
  </si>
  <si>
    <t>Jaina</t>
  </si>
  <si>
    <t>Kolhapur</t>
  </si>
  <si>
    <t>Latur</t>
  </si>
  <si>
    <t>Nanded</t>
  </si>
  <si>
    <t>Nashik</t>
  </si>
  <si>
    <t>Raigad</t>
  </si>
  <si>
    <t>Ratnagiri</t>
  </si>
  <si>
    <t>Sangli</t>
  </si>
  <si>
    <t>Satara</t>
  </si>
  <si>
    <t>Sindhudurg</t>
  </si>
  <si>
    <t>Solapur</t>
  </si>
  <si>
    <t>Thane</t>
  </si>
  <si>
    <t>Akola</t>
  </si>
  <si>
    <t>Amaravati</t>
  </si>
  <si>
    <t>Bhandara</t>
  </si>
  <si>
    <t>Buldhana</t>
  </si>
  <si>
    <t>Chandrapur</t>
  </si>
  <si>
    <t>Gondia</t>
  </si>
  <si>
    <t>Wardha</t>
  </si>
  <si>
    <t xml:space="preserve">Washim </t>
  </si>
  <si>
    <t>Gadchiroli</t>
  </si>
  <si>
    <t>Yavatmal</t>
  </si>
  <si>
    <t>Maharasthra-I</t>
  </si>
  <si>
    <t>Maharasthra-III</t>
  </si>
  <si>
    <t>Maharasthra-II</t>
  </si>
  <si>
    <t>Faizabad</t>
  </si>
  <si>
    <t>ANNEXURE B</t>
  </si>
  <si>
    <t>(The Employer (Bank) to provide payment-wise details of tax deducted and deposited with respect to the employee)</t>
  </si>
  <si>
    <t>Tax deposited in respect of the employee</t>
  </si>
  <si>
    <t>Challan Identification Number (CIN)</t>
  </si>
  <si>
    <t>Receipt Numbers of Original statements of TDS under Sub-section(3) of Section 200</t>
  </si>
  <si>
    <t>DO NOT FORGET TO FILL IN THE DETAILS OF ANNEXURE B AND SUMMARY OF TAX DEDUCTED AT SOURCE.</t>
  </si>
  <si>
    <t>Maxm eligible u/s 10(14)</t>
  </si>
  <si>
    <t>Amount taxable</t>
  </si>
  <si>
    <t>High Altitude Allowance</t>
  </si>
  <si>
    <t>No.of months</t>
  </si>
  <si>
    <t>Amt received per month</t>
  </si>
  <si>
    <t>&gt;1000 m and &lt; 1500 m</t>
  </si>
  <si>
    <t>&gt;1500 m and &lt;3000 m</t>
  </si>
  <si>
    <t>&gt;3000 m</t>
  </si>
  <si>
    <t>Allowance exempt u/s 10(14) read with Rule 2BB</t>
  </si>
  <si>
    <t>i)</t>
  </si>
  <si>
    <t>ii)</t>
  </si>
  <si>
    <t>iii)</t>
  </si>
  <si>
    <t>iv)</t>
  </si>
  <si>
    <t xml:space="preserve">Total of Allowances exempted  u/s 10(14) </t>
  </si>
  <si>
    <t>Prescribed Allowances u/s 10(14)</t>
  </si>
  <si>
    <t>Leave Travel Concession 10(5)</t>
  </si>
  <si>
    <t>LFC diff between II AC fare for distance of travel and amt paid to the employee</t>
  </si>
  <si>
    <t>Miscellaneous Income</t>
  </si>
  <si>
    <t>Interest Income &amp; Miscellaneous Income</t>
  </si>
  <si>
    <t>Net Income from House Property</t>
  </si>
  <si>
    <t>Interest &amp; Misc. Income</t>
  </si>
  <si>
    <r>
      <t xml:space="preserve">LIC Premia paid </t>
    </r>
    <r>
      <rPr>
        <b/>
        <u/>
        <sz val="11"/>
        <color indexed="10"/>
        <rFont val="BOOK ANTIQUA"/>
        <family val="1"/>
      </rPr>
      <t>under Salary Savings Scheme</t>
    </r>
  </si>
  <si>
    <r>
      <t xml:space="preserve">Subscription to </t>
    </r>
    <r>
      <rPr>
        <b/>
        <sz val="11"/>
        <rFont val="BOOK ANTIQUA"/>
        <family val="1"/>
      </rPr>
      <t xml:space="preserve">National Savings Certificate - IX Issue </t>
    </r>
  </si>
  <si>
    <t>Jeevan Nidhi, Jeevan Dhara or New Jeevan Akshay-Deferred Annuity Plan</t>
  </si>
  <si>
    <t>5 Year Time Deposit under Post office Time Deposit Rules, 1981.</t>
  </si>
  <si>
    <t>Total (a)-(v)</t>
  </si>
  <si>
    <t>Subscription to notified bonds of NABARD</t>
  </si>
  <si>
    <t>Subscription to notified bondsof NABARD</t>
  </si>
  <si>
    <t>Annuity Plan of TATA AAIG Life Insurance company</t>
  </si>
  <si>
    <t>w)</t>
  </si>
  <si>
    <t>Date of Birth</t>
  </si>
  <si>
    <t>Class of Assessee</t>
  </si>
  <si>
    <t>Individual</t>
  </si>
  <si>
    <t>Senior Citizen</t>
  </si>
  <si>
    <t>Tax.Income</t>
  </si>
  <si>
    <t xml:space="preserve">Tax </t>
  </si>
  <si>
    <t>Very Senior Citizen</t>
  </si>
  <si>
    <t>Cess</t>
  </si>
  <si>
    <t>Education Cess @3% (on tax computed at S.No.12)</t>
  </si>
  <si>
    <t>Mr</t>
  </si>
  <si>
    <t>Father of the above Signatory</t>
  </si>
  <si>
    <t>Relationship of Signatory to his/her father</t>
  </si>
  <si>
    <t>Shri</t>
  </si>
  <si>
    <t>HRA EXEMPTION CALCULATOR U/S 10(13) OF INCOME TAX ACT,1961</t>
  </si>
  <si>
    <t>Place of Employment</t>
  </si>
  <si>
    <t>B.P + D.A</t>
  </si>
  <si>
    <t>HRA received</t>
  </si>
  <si>
    <t>Actual Rent Paid</t>
  </si>
  <si>
    <t>LEAST OF THE FOLLOWING WILL BE THE HRA EXEMPTION</t>
  </si>
  <si>
    <t>Rent Paid</t>
  </si>
  <si>
    <t>Less: 10% of Basic + DA</t>
  </si>
  <si>
    <t>Rent paid in excess of 10% of salary</t>
  </si>
  <si>
    <t>HRA Paid</t>
  </si>
  <si>
    <t>LEAST OF THE ABOVE</t>
  </si>
  <si>
    <t>Do you claim exemption for HRA by producing Rent Receipt? [ select "Yes" / "No" ]</t>
  </si>
  <si>
    <t>WHEN THE RENT IS THE SAME FOR THE WHOLE OF THE FINANCIAL YEAR AND HRA EXEMPTION CLAIMED FOR THE FULL YEAR</t>
  </si>
  <si>
    <t>If exemption is claimed for full Year and the rent is the same for the entire financial year, then input the rent paid.</t>
  </si>
  <si>
    <t>Rent</t>
  </si>
  <si>
    <t>If exemption is claimed for part of the year or where the rent varies during the financial year, please fill in the monthwise details of Rent paid.</t>
  </si>
  <si>
    <t>WHEN RENT IS NOT THE SAME FOR THE WHOLE FINANCIAL YEAR AND IT VARIES,  AND HRA EXEMPTION CLAIMED FOR PART OF THE YEAR.</t>
  </si>
  <si>
    <t>Rent paid in excess of 10% of Salary</t>
  </si>
  <si>
    <t>Accrued Interest on NSC VIII Issue purchased</t>
  </si>
  <si>
    <t>Accrued Interest on NSC IX Issue purchased</t>
  </si>
  <si>
    <t>NSC IX INTEREST TABLE</t>
  </si>
  <si>
    <t>to</t>
  </si>
  <si>
    <t>Educational Allowances of children during the year - Furnish amount.</t>
  </si>
  <si>
    <r>
      <t xml:space="preserve">Is the Employee provided with </t>
    </r>
    <r>
      <rPr>
        <b/>
        <u/>
        <sz val="9"/>
        <rFont val="Book Antiqua"/>
        <family val="1"/>
      </rPr>
      <t>Bank's Own Quarters and standard rent recovered</t>
    </r>
    <r>
      <rPr>
        <sz val="9"/>
        <rFont val="BOOK ANTIQUA"/>
        <family val="1"/>
      </rPr>
      <t>?       Select "Yes"/"No" from the Drop down list.</t>
    </r>
  </si>
  <si>
    <t>COMPUTATION OF RESIDENTIAL ACCOMODATION PERKS</t>
  </si>
  <si>
    <t>OWN QUARTERS ACCOMODATION</t>
  </si>
  <si>
    <t>HRR</t>
  </si>
  <si>
    <t>FRR</t>
  </si>
  <si>
    <t>Days</t>
  </si>
  <si>
    <t xml:space="preserve">Accomodation perks on Residential Qtrs </t>
  </si>
  <si>
    <r>
      <t xml:space="preserve">Is Yes, Furnish the period of occupation </t>
    </r>
    <r>
      <rPr>
        <b/>
        <u/>
        <sz val="7"/>
        <color indexed="10"/>
        <rFont val="Book Antiqua"/>
        <family val="1"/>
      </rPr>
      <t>during the financial year only.</t>
    </r>
  </si>
  <si>
    <r>
      <t xml:space="preserve">Is the Employee provided with </t>
    </r>
    <r>
      <rPr>
        <b/>
        <u/>
        <sz val="9"/>
        <rFont val="Book Antiqua"/>
        <family val="1"/>
      </rPr>
      <t>Quarters leased by the Bank</t>
    </r>
    <r>
      <rPr>
        <sz val="9"/>
        <rFont val="BOOK ANTIQUA"/>
        <family val="1"/>
      </rPr>
      <t xml:space="preserve"> and </t>
    </r>
    <r>
      <rPr>
        <b/>
        <u/>
        <sz val="9"/>
        <rFont val="Book Antiqua"/>
        <family val="1"/>
      </rPr>
      <t>rent paid by the Bank?</t>
    </r>
  </si>
  <si>
    <t>RES. ACCOMODATION LEASED &amp; RENT PAID BY THE BANK</t>
  </si>
  <si>
    <t>15% of Salary less Recovery</t>
  </si>
  <si>
    <t>Drop down List</t>
  </si>
  <si>
    <t>S.No.28 for Award &amp; Sub-Staff class only</t>
  </si>
  <si>
    <t xml:space="preserve"> If yes for above[ S.no.50], furnish actual expenses incurred on the running and maintenance of the car</t>
  </si>
  <si>
    <r>
      <t xml:space="preserve">Amount paid or deposited in </t>
    </r>
    <r>
      <rPr>
        <b/>
        <sz val="8"/>
        <rFont val="Book Antiqua"/>
        <family val="1"/>
      </rPr>
      <t>Long Term Infrastructure Bonds of Central Government</t>
    </r>
  </si>
  <si>
    <r>
      <t xml:space="preserve">Subscription to </t>
    </r>
    <r>
      <rPr>
        <b/>
        <sz val="11"/>
        <rFont val="BOOK ANTIQUA"/>
        <family val="1"/>
      </rPr>
      <t xml:space="preserve">National Savings Certificate - VIII Issue </t>
    </r>
  </si>
  <si>
    <t>68.  DEDUCTIONS UNDER CHAPTER VI A - SEC 80 C</t>
  </si>
  <si>
    <t>Place at which Form No.16 issued</t>
  </si>
  <si>
    <t>National Savings Certificate, VIII Issue / IX Issue</t>
  </si>
  <si>
    <t>IX / VIII Issue</t>
  </si>
  <si>
    <r>
      <t xml:space="preserve">15 digit Account No                </t>
    </r>
    <r>
      <rPr>
        <sz val="8"/>
        <rFont val="Tahoma"/>
        <family val="2"/>
      </rPr>
      <t xml:space="preserve"> </t>
    </r>
  </si>
  <si>
    <r>
      <t xml:space="preserve">Amount paid / deposited in an approved </t>
    </r>
    <r>
      <rPr>
        <b/>
        <sz val="8"/>
        <rFont val="Tahoma"/>
        <family val="2"/>
      </rPr>
      <t>Pension Scheme of Central Government (upto 10% of Salary)</t>
    </r>
  </si>
  <si>
    <r>
      <t xml:space="preserve">Interest on loan taken for higher education for </t>
    </r>
    <r>
      <rPr>
        <b/>
        <u/>
        <sz val="8"/>
        <rFont val="Tahoma"/>
        <family val="2"/>
      </rPr>
      <t>SELF/CHILDREN/SPOUSE</t>
    </r>
    <r>
      <rPr>
        <b/>
        <sz val="8"/>
        <rFont val="Tahoma"/>
        <family val="2"/>
      </rPr>
      <t xml:space="preserve"> - 100%</t>
    </r>
  </si>
  <si>
    <t>SB / OD  A/c No</t>
  </si>
  <si>
    <t>Housing Loan II</t>
  </si>
  <si>
    <t>Housing Loan I.</t>
  </si>
  <si>
    <t>Stamp Duty / Registration charges on purchase of house</t>
  </si>
  <si>
    <t>Any other income [a+b+c]</t>
  </si>
  <si>
    <t>Qualifying Deduction</t>
  </si>
  <si>
    <t>Less: Tax deducted at source u/s 192(1)</t>
  </si>
  <si>
    <r>
      <t xml:space="preserve">FORM NO.16                </t>
    </r>
    <r>
      <rPr>
        <b/>
        <sz val="8"/>
        <color indexed="8"/>
        <rFont val="Trebuchet MS"/>
        <family val="2"/>
      </rPr>
      <t>See rule 31(1)(a)</t>
    </r>
  </si>
  <si>
    <t>Conveyance Loan I</t>
  </si>
  <si>
    <t>Educational Loan</t>
  </si>
  <si>
    <t xml:space="preserve">1) </t>
  </si>
  <si>
    <t>Name and Address of the Employer</t>
  </si>
  <si>
    <t>2)</t>
  </si>
  <si>
    <t>TDS assessment Range of the Employer</t>
  </si>
  <si>
    <t xml:space="preserve">3) </t>
  </si>
  <si>
    <t>4)</t>
  </si>
  <si>
    <t xml:space="preserve">Designation </t>
  </si>
  <si>
    <t>PAN of the employee</t>
  </si>
  <si>
    <t>5)</t>
  </si>
  <si>
    <t>Is the employee a director or a person with substantial interest in the company (where the employer is a company)</t>
  </si>
  <si>
    <t>6)</t>
  </si>
  <si>
    <t>Income under the head "Salaries" of the employee (other than from perquisites)</t>
  </si>
  <si>
    <t>7)</t>
  </si>
  <si>
    <t>8)</t>
  </si>
  <si>
    <t>Valuation of Perquisites</t>
  </si>
  <si>
    <t>Amount, if any, recovered from the employee</t>
  </si>
  <si>
    <t>Amout of perquisite chargeable to tax</t>
  </si>
  <si>
    <t>Cars / other automotive</t>
  </si>
  <si>
    <t>Total value of profits in lieu of salary as per Sec 17(3)</t>
  </si>
  <si>
    <t>9)</t>
  </si>
  <si>
    <t>Tax deducted from salary of the employee under Sec 192(1)</t>
  </si>
  <si>
    <t>10)</t>
  </si>
  <si>
    <t>Tax paid by employer on behalf of the employee under Section 192(IA)</t>
  </si>
  <si>
    <t>11)</t>
  </si>
  <si>
    <t>Total Tax Paid</t>
  </si>
  <si>
    <t>12)</t>
  </si>
  <si>
    <t>Date of payment into Government Treasury</t>
  </si>
  <si>
    <t xml:space="preserve">As furnished in Annexure B to Form 16 </t>
  </si>
  <si>
    <t>Off All</t>
  </si>
  <si>
    <r>
      <rPr>
        <b/>
        <u/>
        <sz val="14"/>
        <color indexed="10"/>
        <rFont val="Arial"/>
        <family val="2"/>
      </rPr>
      <t>DOUBLE CLICK</t>
    </r>
    <r>
      <rPr>
        <sz val="14"/>
        <color indexed="10"/>
        <rFont val="Arial"/>
        <family val="2"/>
      </rPr>
      <t xml:space="preserve"> ON THE</t>
    </r>
    <r>
      <rPr>
        <b/>
        <u/>
        <sz val="14"/>
        <color indexed="10"/>
        <rFont val="Arial"/>
        <family val="2"/>
      </rPr>
      <t xml:space="preserve"> ICON BELOW</t>
    </r>
    <r>
      <rPr>
        <sz val="14"/>
        <color indexed="10"/>
        <rFont val="Arial"/>
        <family val="2"/>
      </rPr>
      <t xml:space="preserve"> TO READ THE PREFACE</t>
    </r>
  </si>
  <si>
    <t>CLICK HERE TO READ THE GUIDELINES</t>
  </si>
  <si>
    <t>Karnataka</t>
  </si>
  <si>
    <t>C.R.Building, No.1, Queen's Road</t>
  </si>
  <si>
    <t>Bangalore</t>
  </si>
  <si>
    <t>560 001</t>
  </si>
  <si>
    <t>Investments made under any Equity Savings Scheme (W.E.F 2013-2014)</t>
  </si>
  <si>
    <t>80CCG</t>
  </si>
  <si>
    <t>Section 80 CCG</t>
  </si>
  <si>
    <t>(e)</t>
  </si>
  <si>
    <r>
      <t xml:space="preserve">Amount of </t>
    </r>
    <r>
      <rPr>
        <b/>
        <u/>
        <sz val="14"/>
        <color indexed="10"/>
        <rFont val="BOOK ANTIQUA"/>
        <family val="1"/>
      </rPr>
      <t>LFC</t>
    </r>
    <r>
      <rPr>
        <b/>
        <sz val="11"/>
        <rFont val="BOOK ANTIQUA"/>
        <family val="1"/>
      </rPr>
      <t xml:space="preserve"> encashment</t>
    </r>
  </si>
  <si>
    <t>LFC Encashment made during the current financial year</t>
  </si>
  <si>
    <r>
      <t xml:space="preserve">Is the </t>
    </r>
    <r>
      <rPr>
        <b/>
        <u/>
        <sz val="11"/>
        <rFont val="BOOK ANTIQUA"/>
        <family val="1"/>
      </rPr>
      <t>Banks own quarters</t>
    </r>
    <r>
      <rPr>
        <sz val="11"/>
        <rFont val="Book Antiqua"/>
        <family val="1"/>
      </rPr>
      <t xml:space="preserve"> furnished?      [ Yes / No]</t>
    </r>
  </si>
  <si>
    <t>If "Yes" for S.no.50, furnish Cost of Car. [As per OFF Ledger].</t>
  </si>
  <si>
    <r>
      <t xml:space="preserve">3.Date should always be entered in </t>
    </r>
    <r>
      <rPr>
        <b/>
        <u/>
        <sz val="10"/>
        <rFont val="Arial"/>
        <family val="2"/>
      </rPr>
      <t>dd-mm-yyyy</t>
    </r>
    <r>
      <rPr>
        <sz val="10"/>
        <rFont val="Arial"/>
        <family val="2"/>
      </rPr>
      <t xml:space="preserve"> format. Use "/" as separator. Do not use"." or "-"</t>
    </r>
  </si>
  <si>
    <t>Interest on NSCs (VIII) Issues</t>
  </si>
  <si>
    <t>NSC  IX Issue</t>
  </si>
  <si>
    <r>
      <t>CALCULATION OF ACCRUED INTEREST ON</t>
    </r>
    <r>
      <rPr>
        <b/>
        <u/>
        <sz val="11"/>
        <color indexed="10"/>
        <rFont val="BOOK ANTIQUA"/>
        <family val="1"/>
      </rPr>
      <t xml:space="preserve"> NSC VIII ISSUE</t>
    </r>
  </si>
  <si>
    <r>
      <t xml:space="preserve">CALCULATION OF ACCRUED INTEREST ON </t>
    </r>
    <r>
      <rPr>
        <b/>
        <u/>
        <sz val="11"/>
        <color indexed="10"/>
        <rFont val="BOOK ANTIQUA"/>
        <family val="1"/>
      </rPr>
      <t>NSC IX ISSUE</t>
    </r>
  </si>
  <si>
    <t>PREFACE</t>
  </si>
  <si>
    <t>Click here for help to set the date format in dd/mm/yy format in your local machine.</t>
  </si>
  <si>
    <t>NEW</t>
  </si>
  <si>
    <t>Loan sanctioned date</t>
  </si>
  <si>
    <t>Loan amount</t>
  </si>
  <si>
    <t>Property value</t>
  </si>
  <si>
    <t>Do you own any other Res. House property on the date of sanction of the loan?</t>
  </si>
  <si>
    <t>Deduction towards Interst on Loan taken for Specified Residential House Property (w.e.f 01.04.2014)</t>
  </si>
  <si>
    <t>80 EE</t>
  </si>
  <si>
    <t>80EE</t>
  </si>
  <si>
    <t>Sec 80 EE</t>
  </si>
  <si>
    <t>Interest on Housing loan for specified Res.Property.</t>
  </si>
  <si>
    <t>LESS: TAX CREDIT U/S 87A</t>
  </si>
  <si>
    <t>NET TAX PAYABLE</t>
  </si>
  <si>
    <t>Start Date</t>
  </si>
  <si>
    <t>End Date</t>
  </si>
  <si>
    <t>Form 24Q SUBMISSION DATES</t>
  </si>
  <si>
    <t>TAX CREDIT U/S 87A</t>
  </si>
  <si>
    <t>NET TAX ON TOTAL INCOME</t>
  </si>
  <si>
    <t>TAX PAYABLE [14 + 15]</t>
  </si>
  <si>
    <t>TAX PAYABLE [16 - 17]</t>
  </si>
  <si>
    <t>Housing- Principal Repayment</t>
  </si>
  <si>
    <t>Uttarkhand</t>
  </si>
  <si>
    <t>Uttaranchal</t>
  </si>
  <si>
    <t>West Bengal</t>
  </si>
  <si>
    <t xml:space="preserve">Aayakar Bhavan, 5,Ashok Marg, Rishi Nagar, </t>
  </si>
  <si>
    <t>Aayakar Bhavan, 16/69 Civil Lines</t>
  </si>
  <si>
    <t>Aayakar Bhavan, P7 Chowringhee Square</t>
  </si>
  <si>
    <t>Kolkatta</t>
  </si>
  <si>
    <t>Aayakar Bhavan, Opp.L.B.Stadium Basheer Bagh</t>
  </si>
  <si>
    <t>Andaman &amp; Nicobar</t>
  </si>
  <si>
    <t>Saikia Commercial Complex, Sree Nagar, G.S.Road</t>
  </si>
  <si>
    <t>781 005</t>
  </si>
  <si>
    <t xml:space="preserve">Aayakar Bhavan, Maharishi Karve Road, </t>
  </si>
  <si>
    <t>400 020</t>
  </si>
  <si>
    <t>Aayakar Bhavan, 12, Sadhu Vaswani Chowk</t>
  </si>
  <si>
    <t>411 001</t>
  </si>
  <si>
    <t xml:space="preserve"> Aayakar Bhawan, Telengkhedi Road, Civil Lines</t>
  </si>
  <si>
    <t>Select the State (Employees of Maharashtra &amp; Uttar Pradesh, check out S.No.12 before selecting the  appropriate State Option in S.11</t>
  </si>
  <si>
    <t>Medical/Other benefits or amenities</t>
  </si>
  <si>
    <t>Interest charged in the account</t>
  </si>
  <si>
    <r>
      <t>or "</t>
    </r>
    <r>
      <rPr>
        <sz val="9"/>
        <rFont val="Arial"/>
        <family val="2"/>
      </rPr>
      <t xml:space="preserve">ottilingam@gmail.com " or "odkamalakannan@unionbankofindia.com " or over mobile at </t>
    </r>
    <r>
      <rPr>
        <sz val="10"/>
        <rFont val="Arial"/>
        <family val="2"/>
      </rPr>
      <t xml:space="preserve">+919444917116 </t>
    </r>
    <r>
      <rPr>
        <sz val="8"/>
        <rFont val="Arial"/>
        <family val="2"/>
      </rPr>
      <t>(strictly after 8.00 pm)</t>
    </r>
  </si>
  <si>
    <t xml:space="preserve">S.No.29 for OFFICER STAFF ONLY </t>
  </si>
  <si>
    <t>Are you eligible for deduction u/s 80U. Click "Yes", else "No".</t>
  </si>
  <si>
    <t>80CCD[1B]</t>
  </si>
  <si>
    <r>
      <t xml:space="preserve">Amt paid / deposited in an approved </t>
    </r>
    <r>
      <rPr>
        <b/>
        <sz val="9"/>
        <rFont val="Book Antiqua"/>
        <family val="1"/>
      </rPr>
      <t>Pension Scheme of Central Government. (</t>
    </r>
    <r>
      <rPr>
        <b/>
        <i/>
        <sz val="9"/>
        <rFont val="BOOK ANTIQUA"/>
        <family val="1"/>
      </rPr>
      <t>NEW</t>
    </r>
    <r>
      <rPr>
        <b/>
        <sz val="9"/>
        <rFont val="Book Antiqua"/>
        <family val="1"/>
      </rPr>
      <t>)</t>
    </r>
  </si>
  <si>
    <t>80CCD[1]</t>
  </si>
  <si>
    <t>80CCD [1B]</t>
  </si>
  <si>
    <t>80CCD [1]</t>
  </si>
  <si>
    <t>80TTA</t>
  </si>
  <si>
    <r>
      <t xml:space="preserve">Subscription to </t>
    </r>
    <r>
      <rPr>
        <b/>
        <sz val="11"/>
        <rFont val="BOOK ANTIQUA"/>
        <family val="1"/>
      </rPr>
      <t>Sukanya Samriddhi Scheme in Girl Child name</t>
    </r>
  </si>
  <si>
    <t>DATA FOR CLAIMING RELIEF U/S 89 &amp; FOR PREPARATION OF FORM 10E</t>
  </si>
  <si>
    <t>Cond2</t>
  </si>
  <si>
    <t>AK34=2,INDEX('Scale of Pay Chart'!$C$154:$D$176, MATCH(B34,'Scale of Pay Chart'!$C$154:$C$176,), MATCH("BPCode",'Scale of Pay Chart'!$C$154:$D$154,))</t>
  </si>
  <si>
    <t>Cond3</t>
  </si>
  <si>
    <t>AK34=3,INDEX('Scale of Pay Chart'!$E$154:$F$176, MATCH(B34,'Scale of Pay Chart'!$E$154:$E$176,), MATCH("BPCode",'Scale of Pay Chart'!$E$154:$F$154,))</t>
  </si>
  <si>
    <t>Do you want to claim Relief U/s 89 of IT Act?</t>
  </si>
  <si>
    <t>Cond4</t>
  </si>
  <si>
    <t>AK34=4,INDEX('Scale of Pay Chart'!$G$154:$H$176, MATCH(B34,'Scale of Pay Chart'!$G$154:$G$176,), MATCH("BPCode",'Scale of Pay Chart'!$G$154:$H$154,))</t>
  </si>
  <si>
    <t xml:space="preserve">If Yes, please furnish details of taxable income of previous years </t>
  </si>
  <si>
    <t>Cond5</t>
  </si>
  <si>
    <t>AK34=5,INDEX('Scale of Pay Chart'!$I$154:$J$176, MATCH(B34,'Scale of Pay Chart'!$I$154:$I$176,), MATCH("BPCode",'Scale of Pay Chart'!$I$154:$J$154,))</t>
  </si>
  <si>
    <r>
      <t xml:space="preserve">Taxable Income of the relevant financial year </t>
    </r>
    <r>
      <rPr>
        <b/>
        <u/>
        <sz val="10"/>
        <rFont val="Trebuchet MS"/>
        <family val="2"/>
      </rPr>
      <t>without the arrears of salary</t>
    </r>
  </si>
  <si>
    <t>Cond6</t>
  </si>
  <si>
    <t>AK34=6,INDEX('Scale of Pay Chart'!$K$154:$L$176, MATCH(B34,'Scale of Pay Chart'!$K$154:$K$176,), MATCH("BPCode",'Scale of Pay Chart'!$K$154:$L$154,))</t>
  </si>
  <si>
    <t>Cond7</t>
  </si>
  <si>
    <t>AK34=7,INDEX('Scale of Pay Chart'!$m$154:$n$176, MATCH(B34,'Scale of Pay Chart'!$m$154:$m$176,), MATCH("BPCode",'Scale of Pay Chart'!$m$154:$n$154,))</t>
  </si>
  <si>
    <t xml:space="preserve">Salary received in arrears relating to the relevant financial year </t>
  </si>
  <si>
    <t>PL Encashment arrears received relating to the relevant financial year</t>
  </si>
  <si>
    <t>Total Arrears of Salary + PL Encashment arrears received relating to the relevant financial year</t>
  </si>
  <si>
    <t>Provident Fund deductions</t>
  </si>
  <si>
    <t>Date of Submission of Form 10E</t>
  </si>
  <si>
    <t>FORM 10E</t>
  </si>
  <si>
    <t>Name and address of the Employee</t>
  </si>
  <si>
    <t>Permanent Account Number</t>
  </si>
  <si>
    <t>Residental Status</t>
  </si>
  <si>
    <t>Resident</t>
  </si>
  <si>
    <t>Amount in Rupees</t>
  </si>
  <si>
    <t>1(a)</t>
  </si>
  <si>
    <t>Salary received in arrears in accordance with provisions of Sub Rule (2) of Rule 21A</t>
  </si>
  <si>
    <t>1(b)</t>
  </si>
  <si>
    <t>Payment in the nature of grautity in respect of past services, extending over a period of not less than 5 years in advance in accordance with the provisions of Sub-Rules (3) of Rule 21A</t>
  </si>
  <si>
    <t>Not applicable</t>
  </si>
  <si>
    <t>1(c)</t>
  </si>
  <si>
    <t>Payment in the nature of compensation from the Employer or Former employer at or in connection with termination of employment after continuous service of not less than 3 years or where the unexpired portion of term of employment is also not less than 3 years in accordance with the provisions of Sub Rule (4) of Rule 21 A</t>
  </si>
  <si>
    <t>1(d)</t>
  </si>
  <si>
    <t>Payment in commutation of Pension in accordance with the provisions of Sub-Rule (5) of Rule 21A</t>
  </si>
  <si>
    <t>Detailed particulars of Payments referred to above may be given in Annexure I, II, III or IV, as the case may be</t>
  </si>
  <si>
    <t>ANNEXURE I</t>
  </si>
  <si>
    <t>[See Item 2 of Form No.10E]</t>
  </si>
  <si>
    <r>
      <rPr>
        <b/>
        <sz val="11"/>
        <rFont val="Trebuchet MS"/>
        <family val="2"/>
      </rPr>
      <t xml:space="preserve">Total Income </t>
    </r>
    <r>
      <rPr>
        <sz val="11"/>
        <rFont val="Trebuchet MS"/>
        <family val="2"/>
      </rPr>
      <t xml:space="preserve">                                                                    (</t>
    </r>
    <r>
      <rPr>
        <i/>
        <sz val="11"/>
        <rFont val="Trebuchet MS"/>
        <family val="2"/>
      </rPr>
      <t>Excluding Salary received in arrears</t>
    </r>
    <r>
      <rPr>
        <sz val="11"/>
        <rFont val="Trebuchet MS"/>
        <family val="2"/>
      </rPr>
      <t xml:space="preserve"> )</t>
    </r>
  </si>
  <si>
    <t>Salary received in Arrears</t>
  </si>
  <si>
    <r>
      <rPr>
        <b/>
        <sz val="11"/>
        <rFont val="Trebuchet MS"/>
        <family val="2"/>
      </rPr>
      <t xml:space="preserve">Total Income </t>
    </r>
    <r>
      <rPr>
        <sz val="11"/>
        <rFont val="Trebuchet MS"/>
        <family val="2"/>
      </rPr>
      <t xml:space="preserve">                                                                    (</t>
    </r>
    <r>
      <rPr>
        <i/>
        <sz val="11"/>
        <rFont val="Trebuchet MS"/>
        <family val="2"/>
      </rPr>
      <t xml:space="preserve">As increased by Salary received in arrears </t>
    </r>
    <r>
      <rPr>
        <sz val="11"/>
        <rFont val="Trebuchet MS"/>
        <family val="2"/>
      </rPr>
      <t>)</t>
    </r>
  </si>
  <si>
    <r>
      <rPr>
        <b/>
        <sz val="11"/>
        <rFont val="Trebuchet MS"/>
        <family val="2"/>
      </rPr>
      <t>Tax on Total Income (Including arrears)</t>
    </r>
    <r>
      <rPr>
        <sz val="11"/>
        <rFont val="Trebuchet MS"/>
        <family val="2"/>
      </rPr>
      <t xml:space="preserve">                                                          (</t>
    </r>
    <r>
      <rPr>
        <i/>
        <sz val="11"/>
        <rFont val="Trebuchet MS"/>
        <family val="2"/>
      </rPr>
      <t>As per Item 3</t>
    </r>
    <r>
      <rPr>
        <sz val="11"/>
        <rFont val="Trebuchet MS"/>
        <family val="2"/>
      </rPr>
      <t>)</t>
    </r>
  </si>
  <si>
    <r>
      <rPr>
        <b/>
        <sz val="11"/>
        <rFont val="Trebuchet MS"/>
        <family val="2"/>
      </rPr>
      <t>Tax on Total Income (excluding Salary arrears)</t>
    </r>
    <r>
      <rPr>
        <sz val="11"/>
        <rFont val="Trebuchet MS"/>
        <family val="2"/>
      </rPr>
      <t xml:space="preserve">                                                          (</t>
    </r>
    <r>
      <rPr>
        <i/>
        <sz val="11"/>
        <rFont val="Trebuchet MS"/>
        <family val="2"/>
      </rPr>
      <t>As per Item 1</t>
    </r>
    <r>
      <rPr>
        <sz val="11"/>
        <rFont val="Trebuchet MS"/>
        <family val="2"/>
      </rPr>
      <t>)</t>
    </r>
  </si>
  <si>
    <r>
      <rPr>
        <b/>
        <sz val="11"/>
        <rFont val="Trebuchet MS"/>
        <family val="2"/>
      </rPr>
      <t xml:space="preserve">Tax on Salary received in arrears </t>
    </r>
    <r>
      <rPr>
        <sz val="11"/>
        <rFont val="Trebuchet MS"/>
        <family val="2"/>
      </rPr>
      <t xml:space="preserve">                                         (</t>
    </r>
    <r>
      <rPr>
        <i/>
        <sz val="11"/>
        <rFont val="Trebuchet MS"/>
        <family val="2"/>
      </rPr>
      <t>Difference between Item 4 and Item 5</t>
    </r>
    <r>
      <rPr>
        <sz val="11"/>
        <rFont val="Trebuchet MS"/>
        <family val="2"/>
      </rPr>
      <t>)</t>
    </r>
  </si>
  <si>
    <r>
      <rPr>
        <b/>
        <sz val="11"/>
        <rFont val="Trebuchet MS"/>
        <family val="2"/>
      </rPr>
      <t xml:space="preserve">Tax Computed in accordance with Table "A" </t>
    </r>
    <r>
      <rPr>
        <sz val="11"/>
        <rFont val="Trebuchet MS"/>
        <family val="2"/>
      </rPr>
      <t xml:space="preserve">                          (</t>
    </r>
    <r>
      <rPr>
        <i/>
        <sz val="11"/>
        <rFont val="Trebuchet MS"/>
        <family val="2"/>
      </rPr>
      <t>Brought from column no.7 of Table "A"</t>
    </r>
    <r>
      <rPr>
        <sz val="11"/>
        <rFont val="Trebuchet MS"/>
        <family val="2"/>
      </rPr>
      <t>)</t>
    </r>
  </si>
  <si>
    <r>
      <rPr>
        <b/>
        <sz val="11"/>
        <rFont val="Trebuchet MS"/>
        <family val="2"/>
      </rPr>
      <t xml:space="preserve">Relief under Section 89(1) </t>
    </r>
    <r>
      <rPr>
        <sz val="11"/>
        <rFont val="Trebuchet MS"/>
        <family val="2"/>
      </rPr>
      <t xml:space="preserve">                                                   (</t>
    </r>
    <r>
      <rPr>
        <i/>
        <sz val="11"/>
        <rFont val="Trebuchet MS"/>
        <family val="2"/>
      </rPr>
      <t>Indicate the difference between the amounts mentioned against Items 6 and Item 7</t>
    </r>
    <r>
      <rPr>
        <sz val="11"/>
        <rFont val="Trebuchet MS"/>
        <family val="2"/>
      </rPr>
      <t>)</t>
    </r>
  </si>
  <si>
    <t>TABLE-"A"</t>
  </si>
  <si>
    <t>[See Item 7 of Annexure I]</t>
  </si>
  <si>
    <t>Previous Year(s)</t>
  </si>
  <si>
    <t>Total Income of the relevant financial year</t>
  </si>
  <si>
    <t>Salary received in arrears relating to the relevant financial year as mentioned in column (1)</t>
  </si>
  <si>
    <r>
      <t>Total Income (as increased by salary received in arrears) of the relevant financial year as mentioned in column (1)               [</t>
    </r>
    <r>
      <rPr>
        <b/>
        <i/>
        <u/>
        <sz val="9"/>
        <rFont val="Trebuchet MS"/>
        <family val="2"/>
      </rPr>
      <t>Add columns (2) and (3)</t>
    </r>
    <r>
      <rPr>
        <sz val="9"/>
        <rFont val="Trebuchet MS"/>
        <family val="2"/>
      </rPr>
      <t>]</t>
    </r>
  </si>
  <si>
    <t>Tax on Total Income as per column (2)</t>
  </si>
  <si>
    <t>Tax on Total Income as per Column (4)</t>
  </si>
  <si>
    <t>Difference in Tax [Amount under column (6) minus amount under column (5)]</t>
  </si>
  <si>
    <t>Calculation for Column No. 5</t>
  </si>
  <si>
    <t>Taxable Income</t>
  </si>
  <si>
    <t>Tax on Total Income</t>
  </si>
  <si>
    <t>Less: Rebate u/s 87(A)</t>
  </si>
  <si>
    <t>Net Tax Payable</t>
  </si>
  <si>
    <t>Add:Surcharge</t>
  </si>
  <si>
    <t>Add:Education Cess</t>
  </si>
  <si>
    <t>Total Income Tax Payable</t>
  </si>
  <si>
    <t>Calculation for Column No. 6</t>
  </si>
  <si>
    <t>Total Taxable Income</t>
  </si>
  <si>
    <t>Add: Surcharge</t>
  </si>
  <si>
    <t>Add: Education Cess</t>
  </si>
  <si>
    <t>Relief U/s 89</t>
  </si>
  <si>
    <t>Do you want to claim relief U/s 89? If Yes, click___&gt;</t>
  </si>
  <si>
    <r>
      <rPr>
        <b/>
        <sz val="7"/>
        <rFont val="Book Antiqua"/>
        <family val="1"/>
      </rPr>
      <t>C</t>
    </r>
    <r>
      <rPr>
        <b/>
        <sz val="7"/>
        <color theme="3" tint="0.39997558519241921"/>
        <rFont val="Book Antiqua"/>
        <family val="1"/>
      </rPr>
      <t>O</t>
    </r>
    <r>
      <rPr>
        <b/>
        <sz val="7"/>
        <color theme="3"/>
        <rFont val="Book Antiqua"/>
        <family val="1"/>
      </rPr>
      <t>L</t>
    </r>
    <r>
      <rPr>
        <b/>
        <sz val="7"/>
        <color rgb="FF92D050"/>
        <rFont val="Book Antiqua"/>
        <family val="1"/>
      </rPr>
      <t>O</t>
    </r>
    <r>
      <rPr>
        <b/>
        <sz val="7"/>
        <color rgb="FFFFFF00"/>
        <rFont val="Book Antiqua"/>
        <family val="1"/>
      </rPr>
      <t>U</t>
    </r>
    <r>
      <rPr>
        <b/>
        <sz val="7"/>
        <color rgb="FFFF0000"/>
        <rFont val="Book Antiqua"/>
        <family val="1"/>
      </rPr>
      <t>R</t>
    </r>
    <r>
      <rPr>
        <b/>
        <sz val="7"/>
        <color theme="1"/>
        <rFont val="Book Antiqua"/>
        <family val="1"/>
      </rPr>
      <t xml:space="preserve"> </t>
    </r>
    <r>
      <rPr>
        <b/>
        <sz val="7"/>
        <color rgb="FFC00000"/>
        <rFont val="Book Antiqua"/>
        <family val="1"/>
      </rPr>
      <t>L</t>
    </r>
    <r>
      <rPr>
        <b/>
        <sz val="7"/>
        <color theme="9" tint="-0.499984740745262"/>
        <rFont val="Book Antiqua"/>
        <family val="1"/>
      </rPr>
      <t>E</t>
    </r>
    <r>
      <rPr>
        <b/>
        <sz val="7"/>
        <color theme="9"/>
        <rFont val="Book Antiqua"/>
        <family val="1"/>
      </rPr>
      <t>G</t>
    </r>
    <r>
      <rPr>
        <b/>
        <sz val="7"/>
        <color rgb="FF003366"/>
        <rFont val="Book Antiqua"/>
        <family val="1"/>
      </rPr>
      <t>E</t>
    </r>
    <r>
      <rPr>
        <b/>
        <sz val="7"/>
        <color theme="1"/>
        <rFont val="Book Antiqua"/>
        <family val="1"/>
      </rPr>
      <t>N</t>
    </r>
    <r>
      <rPr>
        <b/>
        <sz val="7"/>
        <color rgb="FF33CC33"/>
        <rFont val="Book Antiqua"/>
        <family val="1"/>
      </rPr>
      <t>D</t>
    </r>
  </si>
  <si>
    <t>RELIEF U/S 89 (ATTACH DETAILS)</t>
  </si>
  <si>
    <r>
      <rPr>
        <b/>
        <sz val="11"/>
        <rFont val="Trebuchet MS"/>
        <family val="2"/>
      </rPr>
      <t xml:space="preserve">Total Income </t>
    </r>
    <r>
      <rPr>
        <sz val="11"/>
        <rFont val="Trebuchet MS"/>
        <family val="2"/>
      </rPr>
      <t xml:space="preserve">                        </t>
    </r>
    <r>
      <rPr>
        <sz val="8"/>
        <rFont val="Trebuchet MS"/>
        <family val="2"/>
      </rPr>
      <t xml:space="preserve"> (As increased by salary received in arrears)</t>
    </r>
  </si>
  <si>
    <t>TAN NUMBER of Office</t>
  </si>
  <si>
    <t>Grade Pay</t>
  </si>
  <si>
    <t>DA on Grade Pa</t>
  </si>
  <si>
    <t>Arrears on NPS, if any</t>
  </si>
  <si>
    <r>
      <t xml:space="preserve">This ITRR utility can be run on any computer installed with </t>
    </r>
    <r>
      <rPr>
        <b/>
        <u/>
        <sz val="9"/>
        <color indexed="10"/>
        <rFont val="Arial"/>
        <family val="2"/>
      </rPr>
      <t xml:space="preserve">Microsoft Office - Excel 2007  </t>
    </r>
    <r>
      <rPr>
        <sz val="9"/>
        <rFont val="Arial"/>
        <family val="2"/>
      </rPr>
      <t>or above.</t>
    </r>
  </si>
  <si>
    <t>---&gt;Labels</t>
  </si>
  <si>
    <t>DEDUCTION TOWARDS INTEREST ON LOAN TAKEN FOR SPECIFIED RESIDENTIAL HOUSE PROPERTY (SEC 80 EE)</t>
  </si>
  <si>
    <t xml:space="preserve">Between 1st April 1999 and before 01st April.2016? </t>
  </si>
  <si>
    <t>Educational Loan &lt;= 7.50 lacs</t>
  </si>
  <si>
    <t>Full Year</t>
  </si>
  <si>
    <t>PAN/GIR No. of BANK</t>
  </si>
  <si>
    <t>15% of (Gross Salary)…….. (B)</t>
  </si>
  <si>
    <t>FGMO, CHENNAI</t>
  </si>
  <si>
    <t>1. Sukanya Samruddhi Account Scheme 2015</t>
  </si>
  <si>
    <t>Festival Advance</t>
  </si>
  <si>
    <t>Mediclaim for self [Maximum Rs.25,000 - Senior Citizen: Rs.30,000].</t>
  </si>
  <si>
    <t>Mediclaim for Parents [ Max: Rs.25000 if age of parent is &lt;60, and 30000 if age of parent is &gt;60]</t>
  </si>
  <si>
    <t>Expenditure for medical treatment including nursing, training and rehabilitationof dependent being a person with disability maximum upto Rs.75000 and with severe disability maximum upto Rs.1,25,000</t>
  </si>
  <si>
    <t>Expenditure actually incurred in caseof the Assessee / his dependent relative/Any member of HUF of the Assessee Rs.40,000, In case of senior citizens Rs.60,000, Very Senior Citizens Rs.80,000</t>
  </si>
  <si>
    <t>Interest on Housing Loan [ Maximum upto Rs.30,000 if loan is availed prior to 1st April 1999 and Maximum upto Rs.2,00,000 if loan is availed on or after 1st April 1999</t>
  </si>
  <si>
    <t xml:space="preserve"> Calculated fields</t>
  </si>
  <si>
    <t>C.P.F</t>
  </si>
  <si>
    <t>Male:8.60%, Female: 8.55%</t>
  </si>
  <si>
    <t xml:space="preserve">Max. Balance O/s </t>
  </si>
  <si>
    <t>2019-2020</t>
  </si>
  <si>
    <r>
      <t xml:space="preserve">TOTAL                                         </t>
    </r>
    <r>
      <rPr>
        <sz val="8"/>
        <rFont val="Trebuchet MS"/>
        <family val="2"/>
      </rPr>
      <t xml:space="preserve"> (01.04.2018 TO 31.03.2019)</t>
    </r>
  </si>
  <si>
    <t>G</t>
  </si>
  <si>
    <t>H</t>
  </si>
  <si>
    <t>STANDARD DEDUCTION U/S 16(IA)</t>
  </si>
  <si>
    <t>I</t>
  </si>
  <si>
    <t>J</t>
  </si>
  <si>
    <t>K</t>
  </si>
  <si>
    <t>L</t>
  </si>
  <si>
    <t>M</t>
  </si>
  <si>
    <t>N</t>
  </si>
  <si>
    <t>O</t>
  </si>
  <si>
    <t>80TTB</t>
  </si>
  <si>
    <r>
      <rPr>
        <b/>
        <u/>
        <sz val="10"/>
        <rFont val="BOOK ANTIQUA"/>
        <family val="1"/>
      </rPr>
      <t>Individuals / HUFs (Other than Senior/Very Senior Citizens)</t>
    </r>
    <r>
      <rPr>
        <sz val="10"/>
        <rFont val="BOOK ANTIQUA"/>
        <family val="1"/>
      </rPr>
      <t>:</t>
    </r>
    <r>
      <rPr>
        <i/>
        <sz val="10"/>
        <rFont val="BOOK ANTIQUA"/>
        <family val="1"/>
      </rPr>
      <t xml:space="preserve"> Interest earned on SB from Nationalized/Sch.Bank, Post office,etc</t>
    </r>
  </si>
  <si>
    <r>
      <rPr>
        <b/>
        <u/>
        <sz val="11"/>
        <color rgb="FFFF0000"/>
        <rFont val="BOOK ANTIQUA"/>
        <family val="1"/>
      </rPr>
      <t>NEW</t>
    </r>
    <r>
      <rPr>
        <u/>
        <sz val="10"/>
        <color rgb="FFFF0000"/>
        <rFont val="BOOK ANTIQUA"/>
        <family val="1"/>
      </rPr>
      <t>:    For Senior/Very Senior Citizens:</t>
    </r>
    <r>
      <rPr>
        <u/>
        <sz val="10"/>
        <rFont val="BOOK ANTIQUA"/>
        <family val="1"/>
      </rPr>
      <t xml:space="preserve"> </t>
    </r>
    <r>
      <rPr>
        <i/>
        <sz val="10"/>
        <rFont val="BOOK ANTIQUA"/>
        <family val="1"/>
      </rPr>
      <t>Interest earned on SB/Term Deposits/RD from Nationalized/Sch.Bank/Post Offices, etc</t>
    </r>
  </si>
  <si>
    <t>Interest Income from SB/Term/RD from Banks/Societies/Post Offices etc</t>
  </si>
  <si>
    <t>Floating Interest at SBI Rates w.e.f 1.4.19</t>
  </si>
  <si>
    <t>Interest at 10.15%</t>
  </si>
  <si>
    <t>Interest at 9.25% (Female)  / 9.30% (Male)</t>
  </si>
  <si>
    <t>No. of shares applied under ESPS</t>
  </si>
  <si>
    <t>No. of shares allotted under ESPS</t>
  </si>
  <si>
    <r>
      <t>INSTRUCTIONS FOR USING THE SHEET:</t>
    </r>
    <r>
      <rPr>
        <b/>
        <sz val="10"/>
        <color indexed="13"/>
        <rFont val="Book Antiqua"/>
        <family val="1"/>
      </rPr>
      <t xml:space="preserve"> Housing Loan, Conveyance Loan, Flood Loan , etc attracts perks.  For filling the Max.Balance O/s column under each of the category, branches can run the menu "LAPSP" and generate the report which will give the Principal Outstanding and Interest Due as on 01.04.2018.  The Principal amount may be entered against April 18 and from then on the subsequent cells may be fed with values after deducting the monthly instalment under the respective category of loan.  For feeding the interest component charged at our Branch level, the statement of account may be generated and interest may be entered in the relevant row.  </t>
    </r>
    <r>
      <rPr>
        <b/>
        <u/>
        <sz val="12"/>
        <color indexed="13"/>
        <rFont val="Book Antiqua"/>
        <family val="1"/>
      </rPr>
      <t>However, for Housing Loan, the interest component need not be fed in this sheet as it is taken from the Data Sheet.</t>
    </r>
  </si>
  <si>
    <r>
      <t xml:space="preserve">J) OTHER FACILITIES - </t>
    </r>
    <r>
      <rPr>
        <b/>
        <sz val="12"/>
        <color rgb="FFFF0000"/>
        <rFont val="Book Antiqua"/>
        <family val="1"/>
      </rPr>
      <t>ESPS</t>
    </r>
  </si>
  <si>
    <t>Fair Market Value on date of allotment</t>
  </si>
  <si>
    <t>Issue price per share</t>
  </si>
  <si>
    <t>Standard Deduction u/s 16(ia)</t>
  </si>
  <si>
    <t>Aggregate of 4(a), (b) and (c)</t>
  </si>
  <si>
    <t>I am also to state that I am paying a monthly rent of Rs…... in respect of rented residential accomodation occupied by me situated at ............................................................... from 01.04.2019  To 31.03.2020      [ Rent receipt of current financial year enclosed).</t>
  </si>
  <si>
    <t>House rent paid / to be paid for the year 2019-2020.</t>
  </si>
  <si>
    <t>80EEA</t>
  </si>
  <si>
    <t>80EEB</t>
  </si>
  <si>
    <t>Interest on loan taken during FY 2019-2020 for a residential house not exceedingthe value of Rs.45 lakhs is allowed as deduction from Income</t>
  </si>
  <si>
    <t>Interest on loan taken for the purchase of anelectric vehicle, deduction eligible upto Rs.1,50,000</t>
  </si>
  <si>
    <t>2020-2021</t>
  </si>
  <si>
    <t>During 1st April 2016 to 31st March 19?</t>
  </si>
  <si>
    <t>(viii)</t>
  </si>
  <si>
    <t>Sec 80 EEA</t>
  </si>
  <si>
    <t>Sec 80 EEB</t>
  </si>
  <si>
    <t xml:space="preserve">Interest on Electric vehicle loan </t>
  </si>
  <si>
    <r>
      <rPr>
        <b/>
        <u/>
        <sz val="9"/>
        <rFont val="Book Antiqua"/>
        <family val="1"/>
      </rPr>
      <t xml:space="preserve">New: </t>
    </r>
    <r>
      <rPr>
        <sz val="9"/>
        <rFont val="BOOK ANTIQUA"/>
        <family val="1"/>
      </rPr>
      <t>Deduction in respect of interest on Loan taken for certain house property (w.e.f 01.04.2019)</t>
    </r>
  </si>
  <si>
    <r>
      <rPr>
        <b/>
        <u/>
        <sz val="9"/>
        <rFont val="Book Antiqua"/>
        <family val="1"/>
      </rPr>
      <t xml:space="preserve">New: </t>
    </r>
    <r>
      <rPr>
        <sz val="9"/>
        <rFont val="BOOK ANTIQUA"/>
        <family val="1"/>
      </rPr>
      <t>Deduction in respect of interest on loan takenfor purchase of an electric vehicle ( w.e.f 01.04.2019)</t>
    </r>
  </si>
  <si>
    <t>Age as on 31.3.2021</t>
  </si>
  <si>
    <t>Salary Earnings during the financial Year April 20 - March 2021</t>
  </si>
  <si>
    <t>Learning Allowance</t>
  </si>
  <si>
    <t>DA on Learn. Allow</t>
  </si>
  <si>
    <r>
      <t xml:space="preserve">Form for furnishing particulars of Income under Section 192(2A) for the year ending </t>
    </r>
    <r>
      <rPr>
        <b/>
        <i/>
        <u/>
        <sz val="11"/>
        <rFont val="Trebuchet MS"/>
        <family val="2"/>
      </rPr>
      <t>31st March 2021</t>
    </r>
    <r>
      <rPr>
        <b/>
        <i/>
        <sz val="11"/>
        <rFont val="Trebuchet MS"/>
        <family val="2"/>
      </rPr>
      <t xml:space="preserve"> for claiming relief under Section 89(1) by a Government Servant or an employee in a [Company, Cooperative Socieity, Local authority, University, Insitution, Association or Body]</t>
    </r>
  </si>
  <si>
    <t>Particulars of Income referred to in Rule 21A of the IncomeTax Rules, 1962 during the previous year relevant to the Asessment Year 2021-2022</t>
  </si>
  <si>
    <t>2018-2019</t>
  </si>
  <si>
    <t>2017-2018</t>
  </si>
  <si>
    <t>2021-2022</t>
  </si>
  <si>
    <t>Please fill in the details of Taxable Income as taken from Income Tax Returns submitted relating to previous Financial years 2019-20, 2018-2019, 2017-2018 issued by the Bank</t>
  </si>
  <si>
    <t>Version 1.01 (dated 15.03.2021)</t>
  </si>
  <si>
    <t>FINANCIAL YEAR: 2020-2021:   ASSESSMENT YEAR: 2021-2022</t>
  </si>
  <si>
    <t>This utility is for preparation of Income Tax computation for the Assessment Year 2021-22</t>
  </si>
  <si>
    <r>
      <t xml:space="preserve"> Suggested Folder name: </t>
    </r>
    <r>
      <rPr>
        <b/>
        <sz val="10"/>
        <rFont val="Arial"/>
        <family val="2"/>
      </rPr>
      <t>Income Tax 2020-2021</t>
    </r>
    <r>
      <rPr>
        <sz val="10"/>
        <rFont val="Arial"/>
        <family val="2"/>
      </rPr>
      <t xml:space="preserve">. The IT Ready Reckoner 2020-2021 should be </t>
    </r>
  </si>
  <si>
    <r>
      <t xml:space="preserve">stored in the said folder.  The path would then be: </t>
    </r>
    <r>
      <rPr>
        <b/>
        <i/>
        <u/>
        <sz val="8"/>
        <rFont val="Arial"/>
        <family val="2"/>
      </rPr>
      <t>C:/Income Tax 2020-2021/IT Ready Reckoner 2020-21</t>
    </r>
  </si>
  <si>
    <t xml:space="preserve">7. Under the said folder, copies of the IT Ready Reckoner 2020-21 may be pasted and renamed </t>
  </si>
  <si>
    <t>It may be noted this ITRR has been prepared with a view to help Bank staff in computation of Income Tax for the current fiscal and also auto generation of Form 16 and Form 12BA and also to make the computation transparent and accurate.  While all necessary care has been taken in incorporating the latest amendments to the Finance Act, 2020, employees are advised in their own interest to ensure the correctness of their return in all respects before submission of the same to IT authorities.</t>
  </si>
  <si>
    <t>The patronage of Unionities has been the motivating factor for releasing the ITRR (revised) for the nineteenth time in succession. Though our Bank has centralized IT calculations in Union Parivar, the ITRR has been revised owing to persistent demand from Unionites and also for use at Branches for calculating /assessing IT of Pensioners.  I am sorry in releasing it a bit delayed.</t>
  </si>
  <si>
    <t>Interest at 11.10%</t>
  </si>
  <si>
    <t>Interest at 10.60%</t>
  </si>
  <si>
    <r>
      <t xml:space="preserve">Quarter 1                        </t>
    </r>
    <r>
      <rPr>
        <sz val="8"/>
        <rFont val="Trebuchet MS"/>
        <family val="2"/>
      </rPr>
      <t>(01.04.2020 to 30.06.2020)</t>
    </r>
  </si>
  <si>
    <r>
      <t xml:space="preserve">Quarter 2                        </t>
    </r>
    <r>
      <rPr>
        <sz val="8"/>
        <rFont val="Trebuchet MS"/>
        <family val="2"/>
      </rPr>
      <t>(01.07.2020 to 30.09.2020)</t>
    </r>
  </si>
  <si>
    <r>
      <t xml:space="preserve">Quarter 3                       </t>
    </r>
    <r>
      <rPr>
        <sz val="8"/>
        <rFont val="Trebuchet MS"/>
        <family val="2"/>
      </rPr>
      <t xml:space="preserve"> (01.10.2020 to 31.12.2020)</t>
    </r>
  </si>
  <si>
    <r>
      <t xml:space="preserve">Quarter 4                        </t>
    </r>
    <r>
      <rPr>
        <sz val="8"/>
        <rFont val="Trebuchet MS"/>
        <family val="2"/>
      </rPr>
      <t>(01.01.2021 to 31.03.2021)</t>
    </r>
  </si>
  <si>
    <t>Interest charged in Housing Loan: Sep 20</t>
  </si>
  <si>
    <t>Interest charged in Housing Loan: Mar 21</t>
  </si>
  <si>
    <r>
      <t xml:space="preserve">This utility has been designed to benefit Amalgamated Union Bank Family [ Award + Officer staff] </t>
    </r>
    <r>
      <rPr>
        <b/>
        <i/>
        <u/>
        <sz val="10"/>
        <rFont val="Arial"/>
        <family val="2"/>
      </rPr>
      <t>&amp; Pensioners (Staff + Public)</t>
    </r>
  </si>
  <si>
    <t xml:space="preserve">I dedicate this ITRR to my beloved parents and to my wife. I gratefully acknowledge with thanks the compliments received from innumerable users of UBI and other Banks. </t>
  </si>
  <si>
    <t>INCOME TAX DECLARATION FOR THE FINANCIAL YEAR 2020-2021</t>
  </si>
  <si>
    <t>To enable the Employer to determine the appropriate amount of tax to be deducted on my emoluments during the year ending 31st March 2021.  I hereby declare that I have paid / I will pay out of my Income chargeable to Income tax during the current financial year the following:</t>
  </si>
  <si>
    <t xml:space="preserve">I undertake to invest and produce satisfactory proof thereof to the bank for verification before 31.01.2021 from my income during the financial year 2020-2021, failing which the Bank will be free to cancel the exemption / deduction from Income and to recover the additional Income tax and surcharge including penalty / interest, if any, from me.  </t>
  </si>
  <si>
    <t>Amount of Stamp duty/Registration charges incurred on purchase of house during the financial year 2020-2021.</t>
  </si>
  <si>
    <t>Learning Allowance + DA</t>
  </si>
  <si>
    <t>OPTION EXERCISE</t>
  </si>
  <si>
    <t>CONCESSIONAL RATES OF TAX U/S 115BAC</t>
  </si>
  <si>
    <t>Total Income</t>
  </si>
  <si>
    <t>Rate of Tax</t>
  </si>
  <si>
    <t>Tax. Income</t>
  </si>
  <si>
    <t>Tax u/s 115BAC</t>
  </si>
  <si>
    <t>Do You like to be taxed under Section 115BAC?</t>
  </si>
</sst>
</file>

<file path=xl/styles.xml><?xml version="1.0" encoding="utf-8"?>
<styleSheet xmlns="http://schemas.openxmlformats.org/spreadsheetml/2006/main">
  <numFmts count="14">
    <numFmt numFmtId="164" formatCode="_(* #,##0.00_);_(* \(#,##0.00\);_(* &quot;-&quot;??_);_(@_)"/>
    <numFmt numFmtId="165" formatCode="_(&quot;Rs.&quot;* #,##0.00_);_(&quot;Rs.&quot;* \(#,##0.00\);_(&quot;Rs.&quot;* &quot;-&quot;??_);_(@_)"/>
    <numFmt numFmtId="166" formatCode="_-&quot;Rs&quot;* #,##0.00_-;\-&quot;Rs&quot;* #,##0.00_-;_-&quot;Rs&quot;* &quot;-&quot;??_-;_-@_-"/>
    <numFmt numFmtId="167" formatCode="0.00;[Red]0.00"/>
    <numFmt numFmtId="168" formatCode="dd/mm/yyyy;@"/>
    <numFmt numFmtId="169" formatCode="dd\-mm\-yyyy"/>
    <numFmt numFmtId="170" formatCode="dd\.mm\.yyyy"/>
    <numFmt numFmtId="171" formatCode="&quot;Rs.&quot;#,##0.00"/>
    <numFmt numFmtId="172" formatCode="dd\/mm\/yyyy"/>
    <numFmt numFmtId="173" formatCode="dd/mmm/yyyy"/>
    <numFmt numFmtId="174" formatCode="[$-409]dd\-mmm\-yy;@"/>
    <numFmt numFmtId="175" formatCode="_-&quot;Rs.&quot;* #,##0.00_-;\-&quot;Rs.&quot;* #,##0.00_-;_-&quot;Rs.&quot;* &quot;-&quot;??_-;_-@_-"/>
    <numFmt numFmtId="176" formatCode="_ [$₹-439]\ * #,##0.00_ ;_ [$₹-439]\ * \-#,##0.00_ ;_ [$₹-439]\ * &quot;-&quot;??_ ;_ @_ "/>
    <numFmt numFmtId="177" formatCode="_(* #,##0_);_(* \(#,##0\);_(* &quot;-&quot;??_);_(@_)"/>
  </numFmts>
  <fonts count="164">
    <font>
      <sz val="10"/>
      <name val="Arial"/>
    </font>
    <font>
      <sz val="10"/>
      <name val="Arial"/>
      <family val="2"/>
    </font>
    <font>
      <sz val="10"/>
      <name val="BOOK ANTIQUA"/>
      <family val="1"/>
    </font>
    <font>
      <sz val="11"/>
      <name val="Book Antiqua"/>
      <family val="1"/>
    </font>
    <font>
      <b/>
      <sz val="11"/>
      <name val="BOOK ANTIQUA"/>
      <family val="1"/>
    </font>
    <font>
      <b/>
      <u/>
      <sz val="11"/>
      <name val="BOOK ANTIQUA"/>
      <family val="1"/>
    </font>
    <font>
      <sz val="11"/>
      <name val="Comic Sans MS"/>
      <family val="4"/>
    </font>
    <font>
      <sz val="8"/>
      <name val="Comic Sans MS"/>
      <family val="4"/>
    </font>
    <font>
      <b/>
      <sz val="10"/>
      <name val="Book Antiqua"/>
      <family val="1"/>
    </font>
    <font>
      <i/>
      <sz val="10"/>
      <name val="BOOK ANTIQUA"/>
      <family val="1"/>
    </font>
    <font>
      <b/>
      <i/>
      <sz val="10"/>
      <name val="Book Antiqua"/>
      <family val="1"/>
    </font>
    <font>
      <b/>
      <u/>
      <sz val="10"/>
      <name val="BOOK ANTIQUA"/>
      <family val="1"/>
    </font>
    <font>
      <b/>
      <sz val="8"/>
      <name val="Book Antiqua"/>
      <family val="1"/>
    </font>
    <font>
      <sz val="9"/>
      <name val="BOOK ANTIQUA"/>
      <family val="1"/>
    </font>
    <font>
      <b/>
      <sz val="9"/>
      <name val="Book Antiqua"/>
      <family val="1"/>
    </font>
    <font>
      <b/>
      <sz val="12"/>
      <name val="BOOK ANTIQUA"/>
      <family val="1"/>
    </font>
    <font>
      <sz val="12"/>
      <name val="Book Antiqua"/>
      <family val="1"/>
    </font>
    <font>
      <b/>
      <i/>
      <u/>
      <sz val="12"/>
      <name val="Book Antiqua"/>
      <family val="1"/>
    </font>
    <font>
      <b/>
      <i/>
      <sz val="12"/>
      <name val="Book Antiqua"/>
      <family val="1"/>
    </font>
    <font>
      <i/>
      <sz val="12"/>
      <name val="Book Antiqua"/>
      <family val="1"/>
    </font>
    <font>
      <b/>
      <i/>
      <sz val="11"/>
      <name val="BOOK ANTIQUA"/>
      <family val="1"/>
    </font>
    <font>
      <u/>
      <sz val="10"/>
      <color indexed="12"/>
      <name val="Arial"/>
      <family val="2"/>
    </font>
    <font>
      <i/>
      <sz val="11"/>
      <name val="BOOK ANTIQUA"/>
      <family val="1"/>
    </font>
    <font>
      <u/>
      <sz val="22"/>
      <color indexed="12"/>
      <name val="Book Antiqua"/>
      <family val="1"/>
    </font>
    <font>
      <sz val="8"/>
      <color indexed="81"/>
      <name val="Tahoma"/>
      <family val="2"/>
    </font>
    <font>
      <b/>
      <sz val="8"/>
      <color indexed="81"/>
      <name val="Tahoma"/>
      <family val="2"/>
    </font>
    <font>
      <b/>
      <sz val="10"/>
      <color indexed="81"/>
      <name val="Tahoma"/>
      <family val="2"/>
    </font>
    <font>
      <b/>
      <u/>
      <sz val="8"/>
      <color indexed="81"/>
      <name val="Tahoma"/>
      <family val="2"/>
    </font>
    <font>
      <b/>
      <sz val="8"/>
      <color indexed="10"/>
      <name val="Tahoma"/>
      <family val="2"/>
    </font>
    <font>
      <sz val="8"/>
      <color indexed="10"/>
      <name val="Tahoma"/>
      <family val="2"/>
    </font>
    <font>
      <b/>
      <u/>
      <sz val="14"/>
      <color indexed="12"/>
      <name val="Book Antiqua"/>
      <family val="1"/>
    </font>
    <font>
      <b/>
      <i/>
      <u/>
      <sz val="10"/>
      <name val="Book Antiqua"/>
      <family val="1"/>
    </font>
    <font>
      <b/>
      <i/>
      <sz val="9"/>
      <name val="BOOK ANTIQUA"/>
      <family val="1"/>
    </font>
    <font>
      <sz val="8"/>
      <name val="Book Antiqua"/>
      <family val="1"/>
    </font>
    <font>
      <i/>
      <sz val="9"/>
      <name val="BOOK ANTIQUA"/>
      <family val="1"/>
    </font>
    <font>
      <b/>
      <sz val="7"/>
      <name val="Book Antiqua"/>
      <family val="1"/>
    </font>
    <font>
      <u/>
      <sz val="16"/>
      <color indexed="12"/>
      <name val="Arial"/>
      <family val="2"/>
    </font>
    <font>
      <sz val="8"/>
      <color indexed="17"/>
      <name val="Tahoma"/>
      <family val="2"/>
    </font>
    <font>
      <sz val="8"/>
      <color indexed="14"/>
      <name val="Tahoma"/>
      <family val="2"/>
    </font>
    <font>
      <sz val="7"/>
      <name val="Book Antiqua"/>
      <family val="1"/>
    </font>
    <font>
      <b/>
      <sz val="10"/>
      <color indexed="13"/>
      <name val="Book Antiqua"/>
      <family val="1"/>
    </font>
    <font>
      <b/>
      <u/>
      <sz val="10"/>
      <color indexed="13"/>
      <name val="Book Antiqua"/>
      <family val="1"/>
    </font>
    <font>
      <b/>
      <i/>
      <sz val="8"/>
      <name val="BOOK ANTIQUA"/>
      <family val="1"/>
    </font>
    <font>
      <sz val="10"/>
      <color indexed="8"/>
      <name val="Arial"/>
      <family val="2"/>
    </font>
    <font>
      <b/>
      <sz val="10"/>
      <name val="Arial"/>
      <family val="2"/>
    </font>
    <font>
      <b/>
      <i/>
      <sz val="9"/>
      <name val="Arial"/>
      <family val="2"/>
    </font>
    <font>
      <b/>
      <u/>
      <sz val="10"/>
      <name val="Arial"/>
      <family val="2"/>
    </font>
    <font>
      <sz val="9"/>
      <name val="Arial"/>
      <family val="2"/>
    </font>
    <font>
      <b/>
      <sz val="10"/>
      <color indexed="16"/>
      <name val="Arial"/>
      <family val="2"/>
    </font>
    <font>
      <b/>
      <u/>
      <sz val="10"/>
      <color indexed="16"/>
      <name val="Arial"/>
      <family val="2"/>
    </font>
    <font>
      <u/>
      <sz val="10"/>
      <color indexed="16"/>
      <name val="Arial"/>
      <family val="2"/>
    </font>
    <font>
      <sz val="8"/>
      <name val="Arial"/>
      <family val="2"/>
    </font>
    <font>
      <b/>
      <u/>
      <sz val="12"/>
      <color indexed="13"/>
      <name val="Book Antiqua"/>
      <family val="1"/>
    </font>
    <font>
      <b/>
      <sz val="7.5"/>
      <color indexed="10"/>
      <name val="Book Antiqua"/>
      <family val="1"/>
    </font>
    <font>
      <b/>
      <sz val="12"/>
      <color indexed="60"/>
      <name val="Book Antiqua"/>
      <family val="1"/>
    </font>
    <font>
      <b/>
      <sz val="8"/>
      <color indexed="10"/>
      <name val="Book Antiqua"/>
      <family val="1"/>
    </font>
    <font>
      <b/>
      <sz val="10"/>
      <color indexed="10"/>
      <name val="BOOK ANTIQUA"/>
      <family val="1"/>
    </font>
    <font>
      <b/>
      <u/>
      <sz val="10"/>
      <color indexed="10"/>
      <name val="Arial"/>
      <family val="2"/>
    </font>
    <font>
      <b/>
      <u/>
      <sz val="9"/>
      <name val="Book Antiqua"/>
      <family val="1"/>
    </font>
    <font>
      <b/>
      <u/>
      <sz val="11"/>
      <color indexed="10"/>
      <name val="BOOK ANTIQUA"/>
      <family val="1"/>
    </font>
    <font>
      <b/>
      <u/>
      <sz val="11"/>
      <color indexed="10"/>
      <name val="BOOK ANTIQUA"/>
      <family val="1"/>
    </font>
    <font>
      <b/>
      <sz val="8"/>
      <color indexed="10"/>
      <name val="Book Antiqua"/>
      <family val="1"/>
    </font>
    <font>
      <sz val="10"/>
      <color indexed="8"/>
      <name val="Trebuchet MS"/>
      <family val="2"/>
    </font>
    <font>
      <b/>
      <u/>
      <sz val="10"/>
      <color indexed="8"/>
      <name val="Trebuchet MS"/>
      <family val="2"/>
    </font>
    <font>
      <u/>
      <sz val="10"/>
      <color indexed="8"/>
      <name val="Trebuchet MS"/>
      <family val="2"/>
    </font>
    <font>
      <b/>
      <sz val="8"/>
      <color indexed="8"/>
      <name val="Trebuchet MS"/>
      <family val="2"/>
    </font>
    <font>
      <b/>
      <sz val="11"/>
      <name val="Trebuchet MS"/>
      <family val="2"/>
    </font>
    <font>
      <sz val="11"/>
      <name val="Trebuchet MS"/>
      <family val="2"/>
    </font>
    <font>
      <i/>
      <sz val="11"/>
      <name val="Trebuchet MS"/>
      <family val="2"/>
    </font>
    <font>
      <sz val="10"/>
      <name val="Trebuchet MS"/>
      <family val="2"/>
    </font>
    <font>
      <sz val="8"/>
      <name val="Trebuchet MS"/>
      <family val="2"/>
    </font>
    <font>
      <sz val="9"/>
      <name val="Trebuchet MS"/>
      <family val="2"/>
    </font>
    <font>
      <b/>
      <u/>
      <sz val="11"/>
      <name val="Trebuchet MS"/>
      <family val="2"/>
    </font>
    <font>
      <b/>
      <u/>
      <sz val="10"/>
      <color indexed="12"/>
      <name val="Trebuchet MS"/>
      <family val="2"/>
    </font>
    <font>
      <b/>
      <sz val="10"/>
      <name val="Trebuchet MS"/>
      <family val="2"/>
    </font>
    <font>
      <b/>
      <sz val="8"/>
      <name val="Trebuchet MS"/>
      <family val="2"/>
    </font>
    <font>
      <b/>
      <i/>
      <sz val="10"/>
      <name val="Trebuchet MS"/>
      <family val="2"/>
    </font>
    <font>
      <b/>
      <sz val="9"/>
      <name val="Trebuchet MS"/>
      <family val="2"/>
    </font>
    <font>
      <b/>
      <u/>
      <sz val="7"/>
      <color indexed="10"/>
      <name val="Book Antiqua"/>
      <family val="1"/>
    </font>
    <font>
      <sz val="10"/>
      <name val="Tahoma"/>
      <family val="2"/>
    </font>
    <font>
      <b/>
      <i/>
      <u/>
      <sz val="10"/>
      <name val="Tahoma"/>
      <family val="2"/>
    </font>
    <font>
      <sz val="8"/>
      <name val="Tahoma"/>
      <family val="2"/>
    </font>
    <font>
      <b/>
      <sz val="10"/>
      <name val="Tahoma"/>
      <family val="2"/>
    </font>
    <font>
      <sz val="9"/>
      <name val="Tahoma"/>
      <family val="2"/>
    </font>
    <font>
      <b/>
      <sz val="8"/>
      <name val="Tahoma"/>
      <family val="2"/>
    </font>
    <font>
      <sz val="7"/>
      <name val="Tahoma"/>
      <family val="2"/>
    </font>
    <font>
      <b/>
      <u/>
      <sz val="8"/>
      <name val="Tahoma"/>
      <family val="2"/>
    </font>
    <font>
      <sz val="7"/>
      <name val="Trebuchet MS"/>
      <family val="2"/>
    </font>
    <font>
      <b/>
      <u/>
      <sz val="10"/>
      <name val="Trebuchet MS"/>
      <family val="2"/>
    </font>
    <font>
      <b/>
      <i/>
      <u/>
      <sz val="10"/>
      <name val="Trebuchet MS"/>
      <family val="2"/>
    </font>
    <font>
      <i/>
      <sz val="10"/>
      <name val="Trebuchet MS"/>
      <family val="2"/>
    </font>
    <font>
      <sz val="14"/>
      <color indexed="10"/>
      <name val="Arial"/>
      <family val="2"/>
    </font>
    <font>
      <b/>
      <u/>
      <sz val="14"/>
      <color indexed="10"/>
      <name val="Arial"/>
      <family val="2"/>
    </font>
    <font>
      <sz val="10"/>
      <name val="Arial"/>
      <family val="2"/>
    </font>
    <font>
      <b/>
      <u/>
      <sz val="14"/>
      <color indexed="10"/>
      <name val="BOOK ANTIQUA"/>
      <family val="1"/>
    </font>
    <font>
      <b/>
      <u/>
      <sz val="9"/>
      <color indexed="10"/>
      <name val="Arial"/>
      <family val="2"/>
    </font>
    <font>
      <sz val="11"/>
      <color theme="1"/>
      <name val="Calibri"/>
      <family val="2"/>
      <scheme val="minor"/>
    </font>
    <font>
      <sz val="10"/>
      <color theme="1"/>
      <name val="Trebuchet MS"/>
      <family val="2"/>
    </font>
    <font>
      <b/>
      <sz val="10"/>
      <color theme="1"/>
      <name val="Trebuchet MS"/>
      <family val="2"/>
    </font>
    <font>
      <sz val="8"/>
      <color theme="1"/>
      <name val="Trebuchet MS"/>
      <family val="2"/>
    </font>
    <font>
      <b/>
      <i/>
      <sz val="10"/>
      <color theme="1"/>
      <name val="Trebuchet MS"/>
      <family val="2"/>
    </font>
    <font>
      <b/>
      <sz val="8"/>
      <color theme="1"/>
      <name val="Trebuchet MS"/>
      <family val="2"/>
    </font>
    <font>
      <sz val="9"/>
      <color theme="1"/>
      <name val="Trebuchet MS"/>
      <family val="2"/>
    </font>
    <font>
      <b/>
      <sz val="9"/>
      <color theme="1"/>
      <name val="Trebuchet MS"/>
      <family val="2"/>
    </font>
    <font>
      <sz val="7"/>
      <color theme="1"/>
      <name val="Trebuchet MS"/>
      <family val="2"/>
    </font>
    <font>
      <i/>
      <sz val="10"/>
      <color theme="1"/>
      <name val="Trebuchet MS"/>
      <family val="2"/>
    </font>
    <font>
      <b/>
      <sz val="8"/>
      <color theme="0"/>
      <name val="Book Antiqua"/>
      <family val="1"/>
    </font>
    <font>
      <b/>
      <sz val="11"/>
      <color theme="0"/>
      <name val="Book Antiqua"/>
      <family val="1"/>
    </font>
    <font>
      <b/>
      <sz val="9"/>
      <color theme="0"/>
      <name val="BOOK ANTIQUA"/>
      <family val="1"/>
    </font>
    <font>
      <sz val="11"/>
      <color theme="1"/>
      <name val="Trebuchet MS"/>
      <family val="2"/>
    </font>
    <font>
      <sz val="6"/>
      <color theme="1"/>
      <name val="Trebuchet MS"/>
      <family val="2"/>
    </font>
    <font>
      <b/>
      <sz val="11"/>
      <color theme="1" tint="4.9989318521683403E-2"/>
      <name val="Book Antiqua"/>
      <family val="1"/>
    </font>
    <font>
      <sz val="14"/>
      <color theme="5"/>
      <name val="Arial"/>
      <family val="2"/>
    </font>
    <font>
      <b/>
      <u/>
      <sz val="10"/>
      <color rgb="FFFF0000"/>
      <name val="Arial"/>
      <family val="2"/>
    </font>
    <font>
      <b/>
      <sz val="11"/>
      <color theme="1"/>
      <name val="Book Antiqua"/>
      <family val="1"/>
    </font>
    <font>
      <sz val="11"/>
      <color theme="1"/>
      <name val="BOOK ANTIQUA"/>
      <family val="1"/>
    </font>
    <font>
      <b/>
      <sz val="10"/>
      <color theme="0"/>
      <name val="Arial"/>
      <family val="2"/>
    </font>
    <font>
      <b/>
      <u/>
      <sz val="11"/>
      <color rgb="FFC00000"/>
      <name val="Book Antiqua"/>
      <family val="1"/>
    </font>
    <font>
      <b/>
      <u/>
      <sz val="14"/>
      <color theme="0"/>
      <name val="Trebuchet MS"/>
      <family val="2"/>
    </font>
    <font>
      <u/>
      <sz val="14"/>
      <color theme="0"/>
      <name val="Trebuchet MS"/>
      <family val="2"/>
    </font>
    <font>
      <b/>
      <i/>
      <sz val="11"/>
      <color theme="0"/>
      <name val="Trebuchet MS"/>
      <family val="2"/>
    </font>
    <font>
      <i/>
      <sz val="8"/>
      <color theme="1"/>
      <name val="Trebuchet MS"/>
      <family val="2"/>
    </font>
    <font>
      <i/>
      <sz val="6"/>
      <color theme="1"/>
      <name val="Trebuchet MS"/>
      <family val="2"/>
    </font>
    <font>
      <u/>
      <sz val="10"/>
      <color theme="1"/>
      <name val="Trebuchet MS"/>
      <family val="2"/>
    </font>
    <font>
      <i/>
      <sz val="9"/>
      <color theme="1"/>
      <name val="Trebuchet MS"/>
      <family val="2"/>
    </font>
    <font>
      <i/>
      <sz val="7"/>
      <color theme="1"/>
      <name val="Trebuchet MS"/>
      <family val="2"/>
    </font>
    <font>
      <b/>
      <u/>
      <sz val="10"/>
      <color theme="1"/>
      <name val="Trebuchet MS"/>
      <family val="2"/>
    </font>
    <font>
      <b/>
      <sz val="11"/>
      <name val="Arial"/>
      <family val="2"/>
    </font>
    <font>
      <b/>
      <i/>
      <u/>
      <sz val="8"/>
      <name val="Arial"/>
      <family val="2"/>
    </font>
    <font>
      <i/>
      <sz val="10"/>
      <color indexed="81"/>
      <name val="Tahoma"/>
      <family val="2"/>
    </font>
    <font>
      <b/>
      <sz val="14"/>
      <color theme="0"/>
      <name val="Book Antiqua"/>
      <family val="1"/>
    </font>
    <font>
      <b/>
      <sz val="10"/>
      <color theme="3" tint="-0.249977111117893"/>
      <name val="Trebuchet MS"/>
      <family val="2"/>
    </font>
    <font>
      <sz val="10"/>
      <color theme="9" tint="-0.499984740745262"/>
      <name val="Trebuchet MS"/>
      <family val="2"/>
    </font>
    <font>
      <b/>
      <i/>
      <sz val="11"/>
      <name val="Trebuchet MS"/>
      <family val="2"/>
    </font>
    <font>
      <b/>
      <i/>
      <u/>
      <sz val="11"/>
      <name val="Trebuchet MS"/>
      <family val="2"/>
    </font>
    <font>
      <b/>
      <i/>
      <u/>
      <sz val="9"/>
      <name val="Trebuchet MS"/>
      <family val="2"/>
    </font>
    <font>
      <sz val="12"/>
      <name val="Trebuchet MS"/>
      <family val="2"/>
    </font>
    <font>
      <b/>
      <sz val="9"/>
      <color indexed="10"/>
      <name val="BOOK ANTIQUA"/>
      <family val="1"/>
    </font>
    <font>
      <b/>
      <sz val="7"/>
      <color theme="1"/>
      <name val="Book Antiqua"/>
      <family val="1"/>
    </font>
    <font>
      <b/>
      <sz val="7"/>
      <color theme="3" tint="0.39997558519241921"/>
      <name val="Book Antiqua"/>
      <family val="1"/>
    </font>
    <font>
      <b/>
      <sz val="7"/>
      <color theme="3"/>
      <name val="Book Antiqua"/>
      <family val="1"/>
    </font>
    <font>
      <b/>
      <sz val="7"/>
      <color rgb="FF92D050"/>
      <name val="Book Antiqua"/>
      <family val="1"/>
    </font>
    <font>
      <b/>
      <sz val="7"/>
      <color rgb="FFFFFF00"/>
      <name val="Book Antiqua"/>
      <family val="1"/>
    </font>
    <font>
      <b/>
      <sz val="7"/>
      <color rgb="FFFF0000"/>
      <name val="Book Antiqua"/>
      <family val="1"/>
    </font>
    <font>
      <b/>
      <sz val="7"/>
      <color rgb="FFC00000"/>
      <name val="Book Antiqua"/>
      <family val="1"/>
    </font>
    <font>
      <b/>
      <sz val="7"/>
      <color theme="9" tint="-0.499984740745262"/>
      <name val="Book Antiqua"/>
      <family val="1"/>
    </font>
    <font>
      <b/>
      <sz val="7"/>
      <color theme="9"/>
      <name val="Book Antiqua"/>
      <family val="1"/>
    </font>
    <font>
      <b/>
      <sz val="7"/>
      <color rgb="FF003366"/>
      <name val="Book Antiqua"/>
      <family val="1"/>
    </font>
    <font>
      <b/>
      <sz val="7"/>
      <color rgb="FF33CC33"/>
      <name val="Book Antiqua"/>
      <family val="1"/>
    </font>
    <font>
      <b/>
      <sz val="12"/>
      <name val="Trebuchet MS"/>
      <family val="2"/>
    </font>
    <font>
      <b/>
      <sz val="9"/>
      <color rgb="FFFF0000"/>
      <name val="Book Antiqua"/>
      <family val="1"/>
    </font>
    <font>
      <b/>
      <sz val="10"/>
      <color rgb="FFFF0000"/>
      <name val="Book Antiqua"/>
      <family val="1"/>
    </font>
    <font>
      <b/>
      <i/>
      <u/>
      <sz val="10"/>
      <name val="Arial"/>
      <family val="2"/>
    </font>
    <font>
      <u/>
      <sz val="10"/>
      <name val="BOOK ANTIQUA"/>
      <family val="1"/>
    </font>
    <font>
      <u/>
      <sz val="10"/>
      <color rgb="FFFF0000"/>
      <name val="BOOK ANTIQUA"/>
      <family val="1"/>
    </font>
    <font>
      <b/>
      <u/>
      <sz val="11"/>
      <color rgb="FFFF0000"/>
      <name val="BOOK ANTIQUA"/>
      <family val="1"/>
    </font>
    <font>
      <sz val="10"/>
      <color rgb="FFFF0000"/>
      <name val="BOOK ANTIQUA"/>
      <family val="1"/>
    </font>
    <font>
      <b/>
      <sz val="11"/>
      <color rgb="FFFF0000"/>
      <name val="Book Antiqua"/>
      <family val="1"/>
    </font>
    <font>
      <sz val="10"/>
      <name val="Arial"/>
      <family val="2"/>
    </font>
    <font>
      <b/>
      <sz val="12"/>
      <color rgb="FFFF0000"/>
      <name val="Book Antiqua"/>
      <family val="1"/>
    </font>
    <font>
      <b/>
      <i/>
      <sz val="9"/>
      <color theme="1"/>
      <name val="Trebuchet MS"/>
      <family val="2"/>
    </font>
    <font>
      <b/>
      <u/>
      <sz val="11"/>
      <color rgb="FFFFFF00"/>
      <name val="BOOK ANTIQUA"/>
      <family val="1"/>
    </font>
    <font>
      <b/>
      <sz val="14"/>
      <name val="BOOK ANTIQUA"/>
      <family val="1"/>
    </font>
    <font>
      <b/>
      <u/>
      <sz val="14"/>
      <name val="BOOK ANTIQUA"/>
      <family val="1"/>
    </font>
  </fonts>
  <fills count="29">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10"/>
        <bgColor indexed="64"/>
      </patternFill>
    </fill>
    <fill>
      <patternFill patternType="solid">
        <fgColor indexed="22"/>
        <bgColor indexed="64"/>
      </patternFill>
    </fill>
    <fill>
      <patternFill patternType="solid">
        <fgColor indexed="42"/>
        <bgColor indexed="64"/>
      </patternFill>
    </fill>
    <fill>
      <patternFill patternType="solid">
        <fgColor indexed="12"/>
        <bgColor indexed="64"/>
      </patternFill>
    </fill>
    <fill>
      <patternFill patternType="solid">
        <fgColor rgb="FFFFFFCC"/>
        <bgColor indexed="64"/>
      </patternFill>
    </fill>
    <fill>
      <patternFill patternType="solid">
        <fgColor rgb="FF99FFCC"/>
        <bgColor indexed="64"/>
      </patternFill>
    </fill>
    <fill>
      <patternFill patternType="solid">
        <fgColor rgb="FFFFFF00"/>
        <bgColor indexed="64"/>
      </patternFill>
    </fill>
    <fill>
      <patternFill patternType="solid">
        <fgColor rgb="FF00FFCC"/>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theme="3" tint="0.39997558519241921"/>
        <bgColor indexed="64"/>
      </patternFill>
    </fill>
    <fill>
      <patternFill patternType="solid">
        <fgColor theme="7" tint="0.79998168889431442"/>
        <bgColor indexed="64"/>
      </patternFill>
    </fill>
    <fill>
      <patternFill patternType="solid">
        <fgColor rgb="FFFFC000"/>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rgb="FFFF99FF"/>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style="hair">
        <color indexed="64"/>
      </top>
      <bottom style="hair">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bottom/>
      <diagonal/>
    </border>
    <border>
      <left style="hair">
        <color indexed="64"/>
      </left>
      <right style="hair">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double">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right style="medium">
        <color indexed="64"/>
      </right>
      <top/>
      <bottom/>
      <diagonal/>
    </border>
    <border>
      <left style="thin">
        <color rgb="FFFF0000"/>
      </left>
      <right/>
      <top/>
      <bottom/>
      <diagonal/>
    </border>
    <border>
      <left/>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18">
    <xf numFmtId="0" fontId="0" fillId="0" borderId="0"/>
    <xf numFmtId="165" fontId="1" fillId="0" borderId="0" applyFont="0" applyFill="0" applyBorder="0" applyAlignment="0" applyProtection="0"/>
    <xf numFmtId="165" fontId="96"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21" fillId="0" borderId="0" applyNumberFormat="0" applyFill="0" applyBorder="0" applyAlignment="0" applyProtection="0">
      <alignment vertical="top"/>
      <protection locked="0"/>
    </xf>
    <xf numFmtId="0" fontId="96" fillId="0" borderId="0"/>
    <xf numFmtId="9" fontId="1" fillId="0" borderId="0" applyFont="0" applyFill="0" applyBorder="0" applyAlignment="0" applyProtection="0"/>
    <xf numFmtId="0" fontId="1" fillId="0" borderId="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67" fillId="0" borderId="0" applyFont="0" applyFill="0" applyBorder="0" applyAlignment="0" applyProtection="0"/>
    <xf numFmtId="168" fontId="1" fillId="0" borderId="0" applyFont="0" applyFill="0" applyBorder="0" applyAlignment="0" applyProtection="0"/>
    <xf numFmtId="0" fontId="67" fillId="0" borderId="0"/>
    <xf numFmtId="166" fontId="67" fillId="0" borderId="0" applyFont="0" applyFill="0" applyBorder="0" applyAlignment="0" applyProtection="0"/>
    <xf numFmtId="166" fontId="67" fillId="0" borderId="0" applyFont="0" applyFill="0" applyBorder="0" applyAlignment="0" applyProtection="0"/>
    <xf numFmtId="164" fontId="158" fillId="0" borderId="0" applyFont="0" applyFill="0" applyBorder="0" applyAlignment="0" applyProtection="0"/>
  </cellStyleXfs>
  <cellXfs count="1164">
    <xf numFmtId="0" fontId="0" fillId="0" borderId="0" xfId="0"/>
    <xf numFmtId="0" fontId="8" fillId="0" borderId="0" xfId="0" applyFont="1" applyAlignment="1" applyProtection="1">
      <alignment horizontal="center"/>
      <protection hidden="1"/>
    </xf>
    <xf numFmtId="0" fontId="2" fillId="0" borderId="0" xfId="0" applyFont="1" applyProtection="1">
      <protection hidden="1"/>
    </xf>
    <xf numFmtId="0" fontId="31" fillId="0" borderId="0" xfId="0" applyFont="1" applyAlignment="1" applyProtection="1">
      <alignment horizontal="center"/>
      <protection hidden="1"/>
    </xf>
    <xf numFmtId="0" fontId="8" fillId="0" borderId="0" xfId="0" applyFont="1" applyAlignment="1" applyProtection="1">
      <alignment horizontal="left"/>
      <protection hidden="1"/>
    </xf>
    <xf numFmtId="0" fontId="8" fillId="0" borderId="0" xfId="0" applyFont="1" applyProtection="1">
      <protection hidden="1"/>
    </xf>
    <xf numFmtId="0" fontId="32" fillId="0" borderId="0" xfId="0" applyFont="1" applyAlignment="1" applyProtection="1">
      <alignment horizontal="left"/>
      <protection hidden="1"/>
    </xf>
    <xf numFmtId="0" fontId="2" fillId="0" borderId="0" xfId="0" applyFont="1" applyAlignment="1" applyProtection="1">
      <alignment horizontal="center"/>
      <protection hidden="1"/>
    </xf>
    <xf numFmtId="0" fontId="2" fillId="0" borderId="0" xfId="0" applyFont="1" applyAlignment="1" applyProtection="1">
      <alignment horizontal="right"/>
      <protection hidden="1"/>
    </xf>
    <xf numFmtId="165" fontId="8" fillId="0" borderId="0" xfId="3" applyFont="1" applyProtection="1">
      <protection hidden="1"/>
    </xf>
    <xf numFmtId="0" fontId="10" fillId="0" borderId="0" xfId="0" applyFont="1" applyAlignment="1" applyProtection="1">
      <alignment horizontal="left"/>
      <protection hidden="1"/>
    </xf>
    <xf numFmtId="0" fontId="3" fillId="0" borderId="1" xfId="0" applyFont="1" applyBorder="1" applyAlignment="1" applyProtection="1">
      <alignment horizontal="justify" vertical="center" wrapText="1"/>
      <protection hidden="1"/>
    </xf>
    <xf numFmtId="0" fontId="8" fillId="0" borderId="1" xfId="0" applyFont="1" applyBorder="1" applyAlignment="1" applyProtection="1">
      <alignment horizontal="center" vertical="center" wrapText="1"/>
      <protection hidden="1"/>
    </xf>
    <xf numFmtId="0" fontId="14" fillId="0" borderId="1" xfId="0" applyFont="1" applyBorder="1" applyProtection="1">
      <protection hidden="1"/>
    </xf>
    <xf numFmtId="166" fontId="14" fillId="0" borderId="1" xfId="4" applyFont="1" applyBorder="1" applyProtection="1">
      <protection hidden="1"/>
    </xf>
    <xf numFmtId="166" fontId="2" fillId="0" borderId="1" xfId="4" applyFont="1" applyBorder="1" applyProtection="1">
      <protection hidden="1"/>
    </xf>
    <xf numFmtId="166" fontId="8" fillId="0" borderId="1" xfId="4" applyFont="1" applyBorder="1" applyProtection="1">
      <protection hidden="1"/>
    </xf>
    <xf numFmtId="165" fontId="8" fillId="0" borderId="1" xfId="1" applyFont="1" applyBorder="1" applyProtection="1">
      <protection hidden="1"/>
    </xf>
    <xf numFmtId="0" fontId="3" fillId="0" borderId="1" xfId="0" applyFont="1" applyBorder="1" applyAlignment="1" applyProtection="1">
      <alignment horizontal="center" vertical="center" wrapText="1"/>
      <protection hidden="1"/>
    </xf>
    <xf numFmtId="0" fontId="3" fillId="0" borderId="1" xfId="0" applyFont="1" applyBorder="1" applyAlignment="1" applyProtection="1">
      <alignment horizontal="right" vertical="center" wrapText="1"/>
      <protection hidden="1"/>
    </xf>
    <xf numFmtId="0" fontId="16" fillId="0" borderId="0" xfId="0" applyFont="1" applyProtection="1">
      <protection hidden="1"/>
    </xf>
    <xf numFmtId="0" fontId="8" fillId="0" borderId="0" xfId="0" applyFont="1" applyAlignment="1" applyProtection="1">
      <alignment horizontal="center" vertical="center" wrapText="1"/>
      <protection hidden="1"/>
    </xf>
    <xf numFmtId="0" fontId="2" fillId="0" borderId="0" xfId="0" applyFont="1" applyAlignment="1" applyProtection="1">
      <alignment horizontal="left" vertical="center" wrapText="1"/>
      <protection hidden="1"/>
    </xf>
    <xf numFmtId="0" fontId="16" fillId="0" borderId="1" xfId="0" applyFont="1" applyBorder="1" applyAlignment="1" applyProtection="1">
      <alignment horizontal="center" vertical="center" wrapText="1"/>
      <protection hidden="1"/>
    </xf>
    <xf numFmtId="0" fontId="16" fillId="0" borderId="0" xfId="0" applyFont="1" applyAlignment="1" applyProtection="1">
      <alignment horizontal="left" vertical="center" wrapText="1"/>
      <protection hidden="1"/>
    </xf>
    <xf numFmtId="0" fontId="15" fillId="0" borderId="0" xfId="0" applyFont="1" applyProtection="1">
      <protection hidden="1"/>
    </xf>
    <xf numFmtId="17" fontId="2" fillId="0" borderId="1" xfId="0" applyNumberFormat="1" applyFont="1" applyBorder="1" applyProtection="1">
      <protection hidden="1"/>
    </xf>
    <xf numFmtId="0" fontId="2" fillId="0" borderId="1" xfId="0" applyFont="1" applyBorder="1" applyProtection="1">
      <protection hidden="1"/>
    </xf>
    <xf numFmtId="0" fontId="14" fillId="0" borderId="0" xfId="0" applyFont="1" applyProtection="1">
      <protection hidden="1"/>
    </xf>
    <xf numFmtId="0" fontId="8" fillId="0" borderId="1" xfId="0" applyFont="1" applyBorder="1" applyProtection="1">
      <protection hidden="1"/>
    </xf>
    <xf numFmtId="0" fontId="8" fillId="0" borderId="2" xfId="0" applyFont="1" applyBorder="1" applyProtection="1">
      <protection hidden="1"/>
    </xf>
    <xf numFmtId="166" fontId="8" fillId="0" borderId="1" xfId="0" applyNumberFormat="1" applyFont="1" applyBorder="1" applyProtection="1">
      <protection hidden="1"/>
    </xf>
    <xf numFmtId="0" fontId="8" fillId="0" borderId="3" xfId="0" applyFont="1" applyBorder="1" applyProtection="1">
      <protection hidden="1"/>
    </xf>
    <xf numFmtId="166" fontId="12" fillId="0" borderId="4" xfId="0" applyNumberFormat="1" applyFont="1" applyBorder="1" applyProtection="1">
      <protection hidden="1"/>
    </xf>
    <xf numFmtId="0" fontId="8" fillId="0" borderId="5" xfId="0" applyFont="1" applyBorder="1" applyProtection="1">
      <protection hidden="1"/>
    </xf>
    <xf numFmtId="166" fontId="8" fillId="0" borderId="4" xfId="0" applyNumberFormat="1" applyFont="1" applyBorder="1" applyProtection="1">
      <protection hidden="1"/>
    </xf>
    <xf numFmtId="166" fontId="8" fillId="0" borderId="6" xfId="0" applyNumberFormat="1" applyFont="1" applyBorder="1" applyProtection="1">
      <protection hidden="1"/>
    </xf>
    <xf numFmtId="2" fontId="2" fillId="0" borderId="0" xfId="0" applyNumberFormat="1" applyFont="1" applyProtection="1">
      <protection hidden="1"/>
    </xf>
    <xf numFmtId="0" fontId="2" fillId="0" borderId="1" xfId="0" applyFont="1" applyBorder="1" applyAlignment="1" applyProtection="1">
      <alignment horizontal="center"/>
      <protection hidden="1"/>
    </xf>
    <xf numFmtId="10" fontId="2" fillId="0" borderId="1" xfId="0" applyNumberFormat="1" applyFont="1" applyBorder="1" applyProtection="1">
      <protection hidden="1"/>
    </xf>
    <xf numFmtId="0" fontId="33" fillId="0" borderId="1" xfId="0" applyFont="1" applyBorder="1" applyProtection="1">
      <protection hidden="1"/>
    </xf>
    <xf numFmtId="165" fontId="2" fillId="0" borderId="1" xfId="3" applyFont="1" applyBorder="1" applyProtection="1">
      <protection hidden="1"/>
    </xf>
    <xf numFmtId="165" fontId="13" fillId="0" borderId="1" xfId="3" applyFont="1" applyBorder="1" applyProtection="1">
      <protection hidden="1"/>
    </xf>
    <xf numFmtId="166" fontId="9" fillId="0" borderId="1" xfId="0" applyNumberFormat="1" applyFont="1" applyBorder="1" applyProtection="1">
      <protection hidden="1"/>
    </xf>
    <xf numFmtId="166" fontId="34" fillId="0" borderId="1" xfId="0" applyNumberFormat="1" applyFont="1" applyBorder="1" applyProtection="1">
      <protection hidden="1"/>
    </xf>
    <xf numFmtId="0" fontId="9" fillId="0" borderId="7" xfId="0" applyFont="1" applyBorder="1" applyProtection="1">
      <protection hidden="1"/>
    </xf>
    <xf numFmtId="0" fontId="2" fillId="0" borderId="1" xfId="0" quotePrefix="1" applyFont="1" applyBorder="1" applyAlignment="1" applyProtection="1">
      <alignment horizontal="left"/>
      <protection hidden="1"/>
    </xf>
    <xf numFmtId="0" fontId="13" fillId="0" borderId="1" xfId="0" applyFont="1" applyBorder="1" applyProtection="1">
      <protection hidden="1"/>
    </xf>
    <xf numFmtId="165" fontId="9" fillId="0" borderId="1" xfId="3" applyFont="1" applyBorder="1" applyProtection="1">
      <protection hidden="1"/>
    </xf>
    <xf numFmtId="0" fontId="9" fillId="0" borderId="0" xfId="0" applyFont="1" applyProtection="1">
      <protection hidden="1"/>
    </xf>
    <xf numFmtId="165" fontId="14" fillId="0" borderId="1" xfId="3" applyFont="1" applyBorder="1" applyProtection="1">
      <protection hidden="1"/>
    </xf>
    <xf numFmtId="165" fontId="8" fillId="0" borderId="1" xfId="3" applyFont="1" applyBorder="1" applyProtection="1">
      <protection hidden="1"/>
    </xf>
    <xf numFmtId="165" fontId="12" fillId="0" borderId="1" xfId="3" applyFont="1" applyBorder="1" applyProtection="1">
      <protection hidden="1"/>
    </xf>
    <xf numFmtId="165" fontId="35" fillId="0" borderId="1" xfId="3" applyFont="1" applyBorder="1" applyProtection="1">
      <protection hidden="1"/>
    </xf>
    <xf numFmtId="166" fontId="8" fillId="0" borderId="0" xfId="0" applyNumberFormat="1" applyFont="1" applyProtection="1">
      <protection hidden="1"/>
    </xf>
    <xf numFmtId="0" fontId="0" fillId="0" borderId="0" xfId="0" applyProtection="1">
      <protection hidden="1"/>
    </xf>
    <xf numFmtId="167" fontId="6" fillId="0" borderId="0" xfId="0" applyNumberFormat="1" applyFont="1" applyAlignment="1" applyProtection="1">
      <alignment horizontal="center" vertical="center" wrapText="1"/>
      <protection hidden="1"/>
    </xf>
    <xf numFmtId="4" fontId="7" fillId="0" borderId="0" xfId="3" applyNumberFormat="1" applyFont="1" applyAlignment="1" applyProtection="1">
      <alignment horizontal="center" vertical="center" wrapText="1"/>
      <protection hidden="1"/>
    </xf>
    <xf numFmtId="4" fontId="6" fillId="0" borderId="0" xfId="0" applyNumberFormat="1" applyFont="1" applyAlignment="1" applyProtection="1">
      <alignment horizontal="center" vertical="center" wrapText="1"/>
      <protection hidden="1"/>
    </xf>
    <xf numFmtId="0" fontId="4" fillId="2" borderId="1" xfId="0" applyFont="1" applyFill="1" applyBorder="1" applyAlignment="1" applyProtection="1">
      <alignment horizontal="justify" vertical="center" wrapText="1"/>
      <protection hidden="1"/>
    </xf>
    <xf numFmtId="10" fontId="3" fillId="0" borderId="1" xfId="0" applyNumberFormat="1" applyFont="1" applyBorder="1" applyAlignment="1" applyProtection="1">
      <alignment horizontal="right" vertical="center" wrapText="1"/>
      <protection hidden="1"/>
    </xf>
    <xf numFmtId="0" fontId="3" fillId="0" borderId="0" xfId="0" applyFont="1" applyAlignment="1" applyProtection="1">
      <alignment horizontal="justify" vertical="center" wrapText="1"/>
      <protection hidden="1"/>
    </xf>
    <xf numFmtId="15" fontId="8" fillId="0" borderId="1" xfId="0" applyNumberFormat="1" applyFont="1" applyBorder="1" applyAlignment="1" applyProtection="1">
      <alignment horizontal="center" vertical="center" wrapText="1"/>
      <protection hidden="1"/>
    </xf>
    <xf numFmtId="10" fontId="3" fillId="0" borderId="1" xfId="7" applyNumberFormat="1" applyFont="1" applyBorder="1" applyAlignment="1" applyProtection="1">
      <alignment horizontal="right" vertical="center" wrapText="1"/>
      <protection hidden="1"/>
    </xf>
    <xf numFmtId="166" fontId="2" fillId="0" borderId="1" xfId="4" applyFont="1" applyBorder="1" applyProtection="1">
      <protection locked="0"/>
    </xf>
    <xf numFmtId="165" fontId="2" fillId="0" borderId="1" xfId="1" applyFont="1" applyBorder="1" applyProtection="1">
      <protection locked="0"/>
    </xf>
    <xf numFmtId="166" fontId="2" fillId="3" borderId="1" xfId="4" applyFont="1" applyFill="1" applyBorder="1" applyProtection="1">
      <protection locked="0"/>
    </xf>
    <xf numFmtId="165" fontId="8" fillId="0" borderId="0" xfId="3" applyFont="1" applyBorder="1" applyAlignment="1" applyProtection="1">
      <alignment horizontal="center"/>
      <protection hidden="1"/>
    </xf>
    <xf numFmtId="0" fontId="4" fillId="2" borderId="0" xfId="0" applyFont="1" applyFill="1" applyAlignment="1" applyProtection="1">
      <alignment horizontal="justify" vertical="center" wrapText="1"/>
      <protection hidden="1"/>
    </xf>
    <xf numFmtId="0" fontId="97" fillId="0" borderId="0" xfId="6" applyFont="1" applyAlignment="1" applyProtection="1">
      <alignment vertical="center" wrapText="1"/>
      <protection hidden="1"/>
    </xf>
    <xf numFmtId="1" fontId="98" fillId="0" borderId="1" xfId="6" applyNumberFormat="1" applyFont="1" applyBorder="1" applyAlignment="1" applyProtection="1">
      <alignment horizontal="center" vertical="center" wrapText="1"/>
      <protection hidden="1"/>
    </xf>
    <xf numFmtId="0" fontId="99" fillId="0" borderId="1" xfId="6" applyFont="1" applyBorder="1" applyAlignment="1" applyProtection="1">
      <alignment horizontal="center" vertical="center" wrapText="1"/>
      <protection hidden="1"/>
    </xf>
    <xf numFmtId="0" fontId="100" fillId="0" borderId="1" xfId="6" applyFont="1" applyBorder="1" applyAlignment="1" applyProtection="1">
      <alignment horizontal="center" vertical="center" wrapText="1"/>
      <protection hidden="1"/>
    </xf>
    <xf numFmtId="0" fontId="97" fillId="0" borderId="8" xfId="6" applyFont="1" applyBorder="1" applyAlignment="1" applyProtection="1">
      <alignment horizontal="center" vertical="center" wrapText="1"/>
      <protection hidden="1"/>
    </xf>
    <xf numFmtId="0" fontId="97" fillId="0" borderId="8" xfId="6" applyFont="1" applyBorder="1" applyAlignment="1" applyProtection="1">
      <alignment vertical="center" wrapText="1"/>
      <protection hidden="1"/>
    </xf>
    <xf numFmtId="170" fontId="97" fillId="0" borderId="8" xfId="6" applyNumberFormat="1" applyFont="1" applyBorder="1" applyAlignment="1" applyProtection="1">
      <alignment horizontal="center" vertical="center" wrapText="1"/>
      <protection hidden="1"/>
    </xf>
    <xf numFmtId="0" fontId="99" fillId="0" borderId="0" xfId="6" applyFont="1" applyAlignment="1" applyProtection="1">
      <alignment vertical="center" wrapText="1"/>
      <protection hidden="1"/>
    </xf>
    <xf numFmtId="165" fontId="97" fillId="0" borderId="1" xfId="2" applyFont="1" applyBorder="1" applyAlignment="1" applyProtection="1">
      <alignment vertical="center" wrapText="1"/>
      <protection hidden="1"/>
    </xf>
    <xf numFmtId="0" fontId="97" fillId="0" borderId="1" xfId="6" applyFont="1" applyBorder="1" applyAlignment="1" applyProtection="1">
      <alignment vertical="center" wrapText="1"/>
      <protection hidden="1"/>
    </xf>
    <xf numFmtId="0" fontId="98" fillId="0" borderId="1" xfId="6" applyFont="1" applyBorder="1" applyAlignment="1" applyProtection="1">
      <alignment vertical="center" wrapText="1"/>
      <protection hidden="1"/>
    </xf>
    <xf numFmtId="0" fontId="97" fillId="0" borderId="1" xfId="6" applyFont="1" applyBorder="1" applyAlignment="1" applyProtection="1">
      <alignment horizontal="right" vertical="center" wrapText="1"/>
      <protection hidden="1"/>
    </xf>
    <xf numFmtId="165" fontId="99" fillId="0" borderId="1" xfId="2" applyFont="1" applyBorder="1" applyAlignment="1" applyProtection="1">
      <alignment vertical="center" wrapText="1"/>
      <protection hidden="1"/>
    </xf>
    <xf numFmtId="165" fontId="101" fillId="0" borderId="1" xfId="2" applyFont="1" applyBorder="1" applyAlignment="1" applyProtection="1">
      <alignment vertical="center" wrapText="1"/>
      <protection hidden="1"/>
    </xf>
    <xf numFmtId="165" fontId="102" fillId="0" borderId="1" xfId="2" applyNumberFormat="1" applyFont="1" applyBorder="1" applyAlignment="1" applyProtection="1">
      <alignment vertical="center" wrapText="1"/>
      <protection hidden="1"/>
    </xf>
    <xf numFmtId="165" fontId="102" fillId="0" borderId="1" xfId="2" applyFont="1" applyBorder="1" applyAlignment="1" applyProtection="1">
      <alignment vertical="center" wrapText="1"/>
      <protection hidden="1"/>
    </xf>
    <xf numFmtId="165" fontId="103" fillId="0" borderId="1" xfId="2" applyFont="1" applyBorder="1" applyAlignment="1" applyProtection="1">
      <alignment vertical="center" wrapText="1"/>
      <protection hidden="1"/>
    </xf>
    <xf numFmtId="165" fontId="99" fillId="0" borderId="1" xfId="2" applyNumberFormat="1" applyFont="1" applyBorder="1" applyAlignment="1" applyProtection="1">
      <alignment vertical="center" wrapText="1"/>
      <protection hidden="1"/>
    </xf>
    <xf numFmtId="165" fontId="104" fillId="0" borderId="1" xfId="2" applyFont="1" applyBorder="1" applyAlignment="1" applyProtection="1">
      <alignment horizontal="center" vertical="center" wrapText="1"/>
      <protection hidden="1"/>
    </xf>
    <xf numFmtId="0" fontId="105" fillId="0" borderId="1" xfId="6" applyFont="1" applyBorder="1" applyAlignment="1" applyProtection="1">
      <alignment horizontal="right" vertical="center" wrapText="1"/>
      <protection hidden="1"/>
    </xf>
    <xf numFmtId="0" fontId="98" fillId="0" borderId="1" xfId="6" applyFont="1" applyBorder="1" applyAlignment="1" applyProtection="1">
      <alignment horizontal="right" vertical="center" wrapText="1"/>
      <protection hidden="1"/>
    </xf>
    <xf numFmtId="0" fontId="104" fillId="0" borderId="3" xfId="6" applyFont="1" applyBorder="1" applyAlignment="1" applyProtection="1">
      <alignment vertical="center" wrapText="1"/>
      <protection hidden="1"/>
    </xf>
    <xf numFmtId="0" fontId="105" fillId="0" borderId="1" xfId="6" applyFont="1" applyBorder="1" applyAlignment="1" applyProtection="1">
      <alignment horizontal="center" vertical="center" wrapText="1"/>
      <protection hidden="1"/>
    </xf>
    <xf numFmtId="0" fontId="102" fillId="0" borderId="0" xfId="6" applyFont="1" applyAlignment="1" applyProtection="1">
      <alignment vertical="center" wrapText="1"/>
      <protection hidden="1"/>
    </xf>
    <xf numFmtId="0" fontId="97" fillId="0" borderId="0" xfId="6" applyFont="1" applyAlignment="1" applyProtection="1">
      <alignment horizontal="center" vertical="center" wrapText="1"/>
      <protection hidden="1"/>
    </xf>
    <xf numFmtId="165" fontId="99" fillId="0" borderId="0" xfId="2" applyFont="1" applyAlignment="1" applyProtection="1">
      <alignment vertical="center" wrapText="1"/>
      <protection hidden="1"/>
    </xf>
    <xf numFmtId="165" fontId="101" fillId="0" borderId="0" xfId="2" applyFont="1" applyAlignment="1" applyProtection="1">
      <alignment vertical="center" wrapText="1"/>
      <protection hidden="1"/>
    </xf>
    <xf numFmtId="0" fontId="98" fillId="0" borderId="0" xfId="6" applyFont="1" applyAlignment="1" applyProtection="1">
      <alignment vertical="center" wrapText="1"/>
      <protection hidden="1"/>
    </xf>
    <xf numFmtId="167" fontId="67" fillId="0" borderId="0" xfId="0" applyNumberFormat="1" applyFont="1" applyAlignment="1" applyProtection="1">
      <alignment horizontal="center" vertical="center" wrapText="1"/>
      <protection hidden="1"/>
    </xf>
    <xf numFmtId="4" fontId="67" fillId="0" borderId="0" xfId="0" applyNumberFormat="1" applyFont="1" applyAlignment="1" applyProtection="1">
      <alignment horizontal="center" vertical="center" wrapText="1"/>
      <protection hidden="1"/>
    </xf>
    <xf numFmtId="0" fontId="66" fillId="0" borderId="0" xfId="0" applyFont="1" applyAlignment="1" applyProtection="1">
      <alignment horizontal="center" vertical="center" wrapText="1"/>
      <protection hidden="1"/>
    </xf>
    <xf numFmtId="0" fontId="68" fillId="0" borderId="0" xfId="0" applyFont="1" applyAlignment="1" applyProtection="1">
      <alignment horizontal="center" vertical="center" wrapText="1"/>
      <protection hidden="1"/>
    </xf>
    <xf numFmtId="0" fontId="67" fillId="0" borderId="9" xfId="0" applyFont="1" applyBorder="1" applyAlignment="1" applyProtection="1">
      <alignment horizontal="center" vertical="center" wrapText="1"/>
      <protection hidden="1"/>
    </xf>
    <xf numFmtId="167" fontId="66" fillId="0" borderId="0" xfId="0" applyNumberFormat="1" applyFont="1" applyAlignment="1" applyProtection="1">
      <alignment horizontal="center" vertical="center" wrapText="1"/>
      <protection hidden="1"/>
    </xf>
    <xf numFmtId="0" fontId="67" fillId="0" borderId="10" xfId="0" applyFont="1" applyBorder="1" applyAlignment="1" applyProtection="1">
      <alignment horizontal="center" vertical="center" wrapText="1"/>
      <protection hidden="1"/>
    </xf>
    <xf numFmtId="0" fontId="67" fillId="0" borderId="11" xfId="0" applyFont="1" applyBorder="1" applyAlignment="1" applyProtection="1">
      <alignment horizontal="center" vertical="center" wrapText="1"/>
      <protection hidden="1"/>
    </xf>
    <xf numFmtId="0" fontId="67" fillId="4" borderId="11" xfId="0" applyFont="1" applyFill="1" applyBorder="1" applyAlignment="1" applyProtection="1">
      <alignment horizontal="center" vertical="center" wrapText="1"/>
      <protection locked="0"/>
    </xf>
    <xf numFmtId="167" fontId="67" fillId="0" borderId="11" xfId="0" applyNumberFormat="1" applyFont="1" applyBorder="1" applyAlignment="1" applyProtection="1">
      <alignment horizontal="center" vertical="center" wrapText="1"/>
      <protection hidden="1"/>
    </xf>
    <xf numFmtId="4" fontId="66" fillId="0" borderId="11" xfId="0" applyNumberFormat="1" applyFont="1" applyBorder="1" applyAlignment="1" applyProtection="1">
      <alignment horizontal="center" vertical="center" wrapText="1"/>
      <protection hidden="1"/>
    </xf>
    <xf numFmtId="4" fontId="70" fillId="4" borderId="11" xfId="0" applyNumberFormat="1" applyFont="1" applyFill="1" applyBorder="1" applyAlignment="1" applyProtection="1">
      <alignment horizontal="center" vertical="center" wrapText="1"/>
      <protection locked="0"/>
    </xf>
    <xf numFmtId="0" fontId="69" fillId="0" borderId="11" xfId="0" applyFont="1" applyBorder="1" applyAlignment="1" applyProtection="1">
      <alignment horizontal="center" vertical="center" wrapText="1"/>
      <protection hidden="1"/>
    </xf>
    <xf numFmtId="0" fontId="74" fillId="0" borderId="11" xfId="0" applyFont="1" applyBorder="1" applyAlignment="1" applyProtection="1">
      <alignment horizontal="center" vertical="center" wrapText="1"/>
      <protection hidden="1"/>
    </xf>
    <xf numFmtId="0" fontId="69" fillId="0" borderId="12" xfId="0" applyFont="1" applyBorder="1" applyAlignment="1" applyProtection="1">
      <alignment horizontal="center" vertical="center" wrapText="1"/>
      <protection hidden="1"/>
    </xf>
    <xf numFmtId="17" fontId="67" fillId="0" borderId="13" xfId="0" applyNumberFormat="1" applyFont="1" applyBorder="1" applyAlignment="1" applyProtection="1">
      <alignment horizontal="center" vertical="center" wrapText="1"/>
      <protection hidden="1"/>
    </xf>
    <xf numFmtId="4" fontId="74" fillId="0" borderId="1" xfId="3" applyNumberFormat="1" applyFont="1" applyBorder="1" applyAlignment="1" applyProtection="1">
      <alignment horizontal="right" vertical="center" wrapText="1"/>
      <protection hidden="1"/>
    </xf>
    <xf numFmtId="0" fontId="67" fillId="4" borderId="1" xfId="0" applyFont="1" applyFill="1" applyBorder="1" applyAlignment="1" applyProtection="1">
      <alignment horizontal="center" vertical="center" wrapText="1"/>
      <protection hidden="1"/>
    </xf>
    <xf numFmtId="2" fontId="69" fillId="4" borderId="1" xfId="0" applyNumberFormat="1" applyFont="1" applyFill="1" applyBorder="1" applyAlignment="1" applyProtection="1">
      <alignment horizontal="center" vertical="center" wrapText="1"/>
      <protection locked="0"/>
    </xf>
    <xf numFmtId="0" fontId="67" fillId="4" borderId="1" xfId="0" applyFont="1" applyFill="1" applyBorder="1" applyAlignment="1" applyProtection="1">
      <alignment horizontal="center" vertical="center" wrapText="1"/>
      <protection locked="0"/>
    </xf>
    <xf numFmtId="167" fontId="67" fillId="4" borderId="1" xfId="0" applyNumberFormat="1" applyFont="1" applyFill="1" applyBorder="1" applyAlignment="1" applyProtection="1">
      <alignment horizontal="center" vertical="center" wrapText="1"/>
      <protection locked="0"/>
    </xf>
    <xf numFmtId="2" fontId="67" fillId="4" borderId="1" xfId="0" applyNumberFormat="1" applyFont="1" applyFill="1" applyBorder="1" applyAlignment="1" applyProtection="1">
      <alignment horizontal="center" vertical="center" wrapText="1"/>
      <protection locked="0"/>
    </xf>
    <xf numFmtId="4" fontId="74" fillId="4" borderId="1" xfId="0" applyNumberFormat="1" applyFont="1" applyFill="1" applyBorder="1" applyAlignment="1" applyProtection="1">
      <alignment horizontal="right" vertical="center" wrapText="1"/>
      <protection hidden="1"/>
    </xf>
    <xf numFmtId="4" fontId="74" fillId="4" borderId="1" xfId="0" applyNumberFormat="1" applyFont="1" applyFill="1" applyBorder="1" applyAlignment="1" applyProtection="1">
      <alignment horizontal="center" vertical="center" wrapText="1"/>
      <protection locked="0"/>
    </xf>
    <xf numFmtId="4" fontId="75" fillId="4" borderId="1" xfId="0" applyNumberFormat="1" applyFont="1" applyFill="1" applyBorder="1" applyAlignment="1" applyProtection="1">
      <alignment horizontal="right" vertical="center" wrapText="1"/>
      <protection hidden="1"/>
    </xf>
    <xf numFmtId="0" fontId="66" fillId="9" borderId="9" xfId="0" applyFont="1" applyFill="1" applyBorder="1" applyAlignment="1" applyProtection="1">
      <alignment horizontal="center" vertical="center" wrapText="1"/>
      <protection hidden="1"/>
    </xf>
    <xf numFmtId="0" fontId="70" fillId="0" borderId="11" xfId="0" applyFont="1" applyBorder="1" applyAlignment="1" applyProtection="1">
      <alignment horizontal="center" vertical="center" wrapText="1"/>
      <protection hidden="1"/>
    </xf>
    <xf numFmtId="165" fontId="33" fillId="0" borderId="1" xfId="1" applyFont="1" applyBorder="1" applyAlignment="1" applyProtection="1">
      <alignment horizontal="center" vertical="center" wrapText="1"/>
      <protection locked="0"/>
    </xf>
    <xf numFmtId="165" fontId="103" fillId="0" borderId="1" xfId="2" applyFont="1" applyBorder="1" applyAlignment="1" applyProtection="1">
      <alignment horizontal="justify" vertical="center" wrapText="1"/>
      <protection hidden="1"/>
    </xf>
    <xf numFmtId="165" fontId="98" fillId="0" borderId="1" xfId="2" applyFont="1" applyBorder="1" applyAlignment="1" applyProtection="1">
      <alignment vertical="center" wrapText="1"/>
      <protection hidden="1"/>
    </xf>
    <xf numFmtId="1" fontId="101" fillId="0" borderId="1" xfId="2" applyNumberFormat="1" applyFont="1" applyBorder="1" applyAlignment="1" applyProtection="1">
      <alignment horizontal="center" vertical="center" wrapText="1"/>
      <protection hidden="1"/>
    </xf>
    <xf numFmtId="0" fontId="14" fillId="2" borderId="1" xfId="0" applyFont="1" applyFill="1" applyBorder="1" applyAlignment="1" applyProtection="1">
      <alignment horizontal="justify" vertical="center" wrapText="1"/>
      <protection hidden="1"/>
    </xf>
    <xf numFmtId="14" fontId="6" fillId="0" borderId="0" xfId="0" applyNumberFormat="1" applyFont="1" applyAlignment="1" applyProtection="1">
      <alignment horizontal="center" vertical="center" wrapText="1"/>
      <protection hidden="1"/>
    </xf>
    <xf numFmtId="0" fontId="2" fillId="0" borderId="9" xfId="0" applyFont="1" applyBorder="1" applyProtection="1">
      <protection hidden="1"/>
    </xf>
    <xf numFmtId="17" fontId="70" fillId="0" borderId="9" xfId="0" applyNumberFormat="1" applyFont="1" applyBorder="1" applyProtection="1">
      <protection hidden="1"/>
    </xf>
    <xf numFmtId="1" fontId="70" fillId="0" borderId="9" xfId="0" applyNumberFormat="1" applyFont="1" applyBorder="1" applyProtection="1">
      <protection hidden="1"/>
    </xf>
    <xf numFmtId="4" fontId="71" fillId="0" borderId="9" xfId="0" applyNumberFormat="1" applyFont="1" applyBorder="1" applyAlignment="1" applyProtection="1">
      <alignment horizontal="right"/>
      <protection hidden="1"/>
    </xf>
    <xf numFmtId="1" fontId="2" fillId="0" borderId="9" xfId="0" applyNumberFormat="1" applyFont="1" applyBorder="1" applyProtection="1">
      <protection hidden="1"/>
    </xf>
    <xf numFmtId="4" fontId="77" fillId="0" borderId="9" xfId="0" applyNumberFormat="1" applyFont="1" applyBorder="1" applyProtection="1">
      <protection hidden="1"/>
    </xf>
    <xf numFmtId="0" fontId="2" fillId="0" borderId="9" xfId="0" applyFont="1" applyBorder="1" applyAlignment="1" applyProtection="1">
      <alignment horizontal="center"/>
      <protection hidden="1"/>
    </xf>
    <xf numFmtId="0" fontId="3" fillId="0" borderId="0" xfId="0" applyFont="1" applyAlignment="1" applyProtection="1">
      <alignment horizontal="center" vertical="center" wrapText="1"/>
      <protection hidden="1"/>
    </xf>
    <xf numFmtId="17" fontId="70" fillId="0" borderId="9" xfId="0" applyNumberFormat="1" applyFont="1" applyBorder="1" applyAlignment="1" applyProtection="1">
      <alignment horizontal="center"/>
      <protection hidden="1"/>
    </xf>
    <xf numFmtId="1" fontId="8" fillId="0" borderId="9" xfId="0" applyNumberFormat="1" applyFont="1" applyBorder="1" applyProtection="1">
      <protection hidden="1"/>
    </xf>
    <xf numFmtId="0" fontId="3" fillId="10" borderId="1" xfId="0" applyFont="1" applyFill="1" applyBorder="1" applyAlignment="1" applyProtection="1">
      <alignment horizontal="center" vertical="center" wrapText="1"/>
      <protection hidden="1"/>
    </xf>
    <xf numFmtId="0" fontId="33" fillId="10" borderId="1" xfId="0" applyFont="1" applyFill="1" applyBorder="1" applyAlignment="1" applyProtection="1">
      <alignment horizontal="center" vertical="center" wrapText="1"/>
      <protection hidden="1"/>
    </xf>
    <xf numFmtId="0" fontId="3" fillId="11" borderId="1" xfId="0" applyFont="1" applyFill="1" applyBorder="1" applyAlignment="1" applyProtection="1">
      <alignment horizontal="left" vertical="center" wrapText="1"/>
      <protection locked="0"/>
    </xf>
    <xf numFmtId="0" fontId="4" fillId="12" borderId="1" xfId="0" applyFont="1" applyFill="1" applyBorder="1" applyAlignment="1" applyProtection="1">
      <alignment horizontal="center" vertical="center" wrapText="1"/>
      <protection hidden="1"/>
    </xf>
    <xf numFmtId="0" fontId="4" fillId="12" borderId="14" xfId="0" applyFont="1" applyFill="1" applyBorder="1" applyAlignment="1" applyProtection="1">
      <alignment horizontal="center" vertical="center" wrapText="1"/>
      <protection hidden="1"/>
    </xf>
    <xf numFmtId="0" fontId="3" fillId="12" borderId="1" xfId="0" applyFont="1" applyFill="1" applyBorder="1" applyAlignment="1" applyProtection="1">
      <alignment horizontal="center" vertical="center" wrapText="1"/>
      <protection hidden="1"/>
    </xf>
    <xf numFmtId="0" fontId="8" fillId="12" borderId="1" xfId="0" applyFont="1" applyFill="1" applyBorder="1" applyAlignment="1" applyProtection="1">
      <alignment horizontal="center" vertical="center" wrapText="1"/>
      <protection hidden="1"/>
    </xf>
    <xf numFmtId="0" fontId="55" fillId="12" borderId="5" xfId="0" applyFont="1" applyFill="1" applyBorder="1" applyAlignment="1" applyProtection="1">
      <alignment horizontal="center" vertical="center" wrapText="1"/>
      <protection hidden="1"/>
    </xf>
    <xf numFmtId="0" fontId="4" fillId="12" borderId="2" xfId="0" applyFont="1" applyFill="1" applyBorder="1" applyAlignment="1" applyProtection="1">
      <alignment horizontal="left" vertical="center" wrapText="1"/>
      <protection hidden="1"/>
    </xf>
    <xf numFmtId="0" fontId="4" fillId="12" borderId="1" xfId="0" quotePrefix="1" applyFont="1" applyFill="1" applyBorder="1" applyAlignment="1" applyProtection="1">
      <alignment horizontal="left" vertical="center" wrapText="1"/>
      <protection hidden="1"/>
    </xf>
    <xf numFmtId="0" fontId="4" fillId="12" borderId="1" xfId="0" applyFont="1" applyFill="1" applyBorder="1" applyAlignment="1" applyProtection="1">
      <alignment horizontal="left" vertical="center" wrapText="1"/>
      <protection hidden="1"/>
    </xf>
    <xf numFmtId="0" fontId="13" fillId="12" borderId="1" xfId="0" applyFont="1" applyFill="1" applyBorder="1" applyAlignment="1" applyProtection="1">
      <alignment horizontal="justify" vertical="center" wrapText="1"/>
      <protection hidden="1"/>
    </xf>
    <xf numFmtId="0" fontId="3" fillId="12" borderId="1" xfId="0" applyFont="1" applyFill="1" applyBorder="1" applyAlignment="1" applyProtection="1">
      <alignment horizontal="left" vertical="center" wrapText="1"/>
      <protection locked="0"/>
    </xf>
    <xf numFmtId="165" fontId="106" fillId="13" borderId="1" xfId="1" applyFont="1" applyFill="1" applyBorder="1" applyAlignment="1" applyProtection="1">
      <alignment horizontal="center" vertical="center" wrapText="1"/>
      <protection hidden="1"/>
    </xf>
    <xf numFmtId="1" fontId="107" fillId="13" borderId="6" xfId="0" applyNumberFormat="1" applyFont="1" applyFill="1" applyBorder="1" applyAlignment="1" applyProtection="1">
      <alignment horizontal="center" vertical="center" wrapText="1"/>
      <protection hidden="1"/>
    </xf>
    <xf numFmtId="49" fontId="3" fillId="12" borderId="1" xfId="0" applyNumberFormat="1" applyFont="1" applyFill="1" applyBorder="1" applyAlignment="1" applyProtection="1">
      <alignment horizontal="right" vertical="center" wrapText="1"/>
      <protection hidden="1"/>
    </xf>
    <xf numFmtId="49" fontId="107" fillId="13" borderId="1" xfId="0" applyNumberFormat="1" applyFont="1" applyFill="1" applyBorder="1" applyAlignment="1" applyProtection="1">
      <alignment horizontal="right" vertical="center" wrapText="1"/>
      <protection hidden="1"/>
    </xf>
    <xf numFmtId="49" fontId="3" fillId="11" borderId="1" xfId="0" applyNumberFormat="1" applyFont="1" applyFill="1" applyBorder="1" applyAlignment="1" applyProtection="1">
      <alignment horizontal="right" vertical="center" wrapText="1"/>
      <protection hidden="1"/>
    </xf>
    <xf numFmtId="15" fontId="33" fillId="14" borderId="1" xfId="0" applyNumberFormat="1" applyFont="1" applyFill="1" applyBorder="1" applyAlignment="1" applyProtection="1">
      <alignment horizontal="center" vertical="center" wrapText="1"/>
      <protection locked="0"/>
    </xf>
    <xf numFmtId="0" fontId="12" fillId="12" borderId="1" xfId="0" applyFont="1" applyFill="1" applyBorder="1" applyAlignment="1" applyProtection="1">
      <alignment horizontal="center" vertical="center" wrapText="1"/>
      <protection hidden="1"/>
    </xf>
    <xf numFmtId="4" fontId="13" fillId="14" borderId="1" xfId="1" applyNumberFormat="1" applyFont="1" applyFill="1" applyBorder="1" applyAlignment="1" applyProtection="1">
      <alignment horizontal="right" vertical="center" wrapText="1"/>
      <protection locked="0"/>
    </xf>
    <xf numFmtId="173" fontId="13" fillId="14" borderId="1" xfId="0" applyNumberFormat="1" applyFont="1" applyFill="1" applyBorder="1" applyAlignment="1" applyProtection="1">
      <alignment horizontal="center" vertical="center" wrapText="1"/>
      <protection locked="0"/>
    </xf>
    <xf numFmtId="165" fontId="33" fillId="14" borderId="1" xfId="1" applyFont="1" applyFill="1" applyBorder="1" applyAlignment="1" applyProtection="1">
      <alignment horizontal="center" vertical="center" wrapText="1"/>
      <protection locked="0"/>
    </xf>
    <xf numFmtId="0" fontId="3" fillId="0" borderId="0" xfId="0" applyFont="1" applyAlignment="1" applyProtection="1">
      <alignment horizontal="left" vertical="center" wrapText="1"/>
      <protection hidden="1"/>
    </xf>
    <xf numFmtId="172" fontId="33" fillId="12" borderId="1" xfId="0" applyNumberFormat="1" applyFont="1" applyFill="1" applyBorder="1" applyAlignment="1" applyProtection="1">
      <alignment horizontal="left" vertical="center" wrapText="1"/>
      <protection hidden="1"/>
    </xf>
    <xf numFmtId="14" fontId="3" fillId="0" borderId="0" xfId="0" applyNumberFormat="1" applyFont="1" applyAlignment="1" applyProtection="1">
      <alignment horizontal="left" vertical="center" wrapText="1"/>
      <protection hidden="1"/>
    </xf>
    <xf numFmtId="165" fontId="4" fillId="12" borderId="1" xfId="1" applyFont="1" applyFill="1" applyBorder="1" applyAlignment="1" applyProtection="1">
      <alignment horizontal="center" vertical="center" wrapText="1"/>
      <protection hidden="1"/>
    </xf>
    <xf numFmtId="165" fontId="108" fillId="13" borderId="1" xfId="1" applyFont="1" applyFill="1" applyBorder="1" applyAlignment="1" applyProtection="1">
      <alignment horizontal="left" vertical="center" wrapText="1"/>
      <protection hidden="1"/>
    </xf>
    <xf numFmtId="165" fontId="3" fillId="0" borderId="0" xfId="1" applyFont="1" applyAlignment="1" applyProtection="1">
      <alignment horizontal="left" vertical="center" wrapText="1"/>
      <protection hidden="1"/>
    </xf>
    <xf numFmtId="165" fontId="33" fillId="14" borderId="1" xfId="1" applyFont="1" applyFill="1" applyBorder="1" applyAlignment="1" applyProtection="1">
      <alignment horizontal="center" vertical="center" wrapText="1"/>
      <protection hidden="1"/>
    </xf>
    <xf numFmtId="37" fontId="93" fillId="14" borderId="1" xfId="1" applyNumberFormat="1" applyFont="1" applyFill="1" applyBorder="1" applyAlignment="1" applyProtection="1">
      <protection hidden="1"/>
    </xf>
    <xf numFmtId="4" fontId="13" fillId="14" borderId="1" xfId="0" applyNumberFormat="1" applyFont="1" applyFill="1" applyBorder="1" applyAlignment="1" applyProtection="1">
      <alignment horizontal="right" vertical="center" wrapText="1"/>
      <protection locked="0"/>
    </xf>
    <xf numFmtId="37" fontId="93" fillId="14" borderId="1" xfId="1" applyNumberFormat="1" applyFont="1" applyFill="1" applyBorder="1" applyAlignment="1" applyProtection="1">
      <protection locked="0"/>
    </xf>
    <xf numFmtId="3" fontId="33" fillId="14" borderId="1" xfId="0" applyNumberFormat="1" applyFont="1" applyFill="1" applyBorder="1" applyAlignment="1" applyProtection="1">
      <alignment horizontal="right" vertical="center" wrapText="1"/>
      <protection locked="0"/>
    </xf>
    <xf numFmtId="9" fontId="54" fillId="14" borderId="1" xfId="0" applyNumberFormat="1" applyFont="1" applyFill="1" applyBorder="1" applyAlignment="1" applyProtection="1">
      <alignment horizontal="center" vertical="center" wrapText="1"/>
      <protection locked="0"/>
    </xf>
    <xf numFmtId="9" fontId="54" fillId="14" borderId="1" xfId="0" applyNumberFormat="1" applyFont="1" applyFill="1" applyBorder="1" applyAlignment="1" applyProtection="1">
      <alignment horizontal="center" vertical="top" wrapText="1"/>
      <protection locked="0"/>
    </xf>
    <xf numFmtId="1" fontId="15" fillId="14" borderId="1" xfId="0" applyNumberFormat="1" applyFont="1" applyFill="1" applyBorder="1" applyAlignment="1" applyProtection="1">
      <alignment horizontal="center" vertical="center" wrapText="1"/>
      <protection locked="0"/>
    </xf>
    <xf numFmtId="0" fontId="5" fillId="14" borderId="1" xfId="0" applyFont="1" applyFill="1" applyBorder="1" applyAlignment="1" applyProtection="1">
      <alignment horizontal="center" vertical="center" wrapText="1"/>
      <protection hidden="1"/>
    </xf>
    <xf numFmtId="49" fontId="12" fillId="0" borderId="1" xfId="0" applyNumberFormat="1" applyFont="1" applyBorder="1" applyAlignment="1" applyProtection="1">
      <alignment horizontal="center" vertical="center" wrapText="1"/>
      <protection hidden="1"/>
    </xf>
    <xf numFmtId="0" fontId="33" fillId="0" borderId="1" xfId="0" applyFont="1" applyBorder="1" applyAlignment="1" applyProtection="1">
      <alignment horizontal="center" vertical="center" wrapText="1"/>
      <protection hidden="1"/>
    </xf>
    <xf numFmtId="0" fontId="39" fillId="0" borderId="1" xfId="0" applyFont="1" applyBorder="1" applyAlignment="1" applyProtection="1">
      <alignment horizontal="center" vertical="center" wrapText="1"/>
      <protection hidden="1"/>
    </xf>
    <xf numFmtId="0" fontId="3" fillId="0" borderId="0" xfId="0" applyFont="1" applyBorder="1" applyAlignment="1" applyProtection="1">
      <alignment horizontal="left" vertical="center" wrapText="1"/>
      <protection hidden="1"/>
    </xf>
    <xf numFmtId="0" fontId="4" fillId="15" borderId="0" xfId="0" applyFont="1" applyFill="1" applyBorder="1" applyAlignment="1" applyProtection="1">
      <alignment horizontal="center" vertical="center" wrapText="1"/>
      <protection hidden="1"/>
    </xf>
    <xf numFmtId="0" fontId="0" fillId="7" borderId="0" xfId="0" applyFill="1" applyAlignment="1" applyProtection="1">
      <alignment horizontal="justify" vertical="center"/>
      <protection hidden="1"/>
    </xf>
    <xf numFmtId="0" fontId="6" fillId="0" borderId="0" xfId="0" applyFont="1" applyAlignment="1" applyProtection="1">
      <alignment horizontal="center" vertical="center" wrapText="1"/>
      <protection hidden="1"/>
    </xf>
    <xf numFmtId="0" fontId="109" fillId="9" borderId="9" xfId="0" applyFont="1" applyFill="1" applyBorder="1" applyAlignment="1" applyProtection="1">
      <alignment horizontal="center" vertical="center" wrapText="1"/>
      <protection hidden="1"/>
    </xf>
    <xf numFmtId="0" fontId="67" fillId="0" borderId="0" xfId="0" applyFont="1" applyAlignment="1" applyProtection="1">
      <alignment horizontal="center" vertical="center" wrapText="1"/>
      <protection hidden="1"/>
    </xf>
    <xf numFmtId="0" fontId="97" fillId="0" borderId="1" xfId="6" applyFont="1" applyBorder="1" applyAlignment="1" applyProtection="1">
      <alignment horizontal="center" vertical="center" wrapText="1"/>
      <protection hidden="1"/>
    </xf>
    <xf numFmtId="1" fontId="97" fillId="0" borderId="1" xfId="6" applyNumberFormat="1" applyFont="1" applyBorder="1" applyAlignment="1" applyProtection="1">
      <alignment horizontal="center" vertical="center" wrapText="1"/>
      <protection hidden="1"/>
    </xf>
    <xf numFmtId="0" fontId="103" fillId="0" borderId="1" xfId="6" applyFont="1" applyBorder="1" applyAlignment="1" applyProtection="1">
      <alignment horizontal="center" vertical="center" wrapText="1"/>
      <protection hidden="1"/>
    </xf>
    <xf numFmtId="165" fontId="103" fillId="0" borderId="1" xfId="2" applyFont="1" applyBorder="1" applyAlignment="1" applyProtection="1">
      <alignment horizontal="center" vertical="center" wrapText="1"/>
      <protection hidden="1"/>
    </xf>
    <xf numFmtId="0" fontId="99" fillId="0" borderId="3" xfId="6" applyFont="1" applyBorder="1" applyAlignment="1" applyProtection="1">
      <alignment horizontal="left" vertical="center" wrapText="1"/>
      <protection hidden="1"/>
    </xf>
    <xf numFmtId="0" fontId="102" fillId="0" borderId="1" xfId="6" applyFont="1" applyBorder="1" applyAlignment="1" applyProtection="1">
      <alignment horizontal="center" vertical="center" wrapText="1"/>
      <protection hidden="1"/>
    </xf>
    <xf numFmtId="0" fontId="97" fillId="0" borderId="8" xfId="6" applyNumberFormat="1" applyFont="1" applyBorder="1" applyAlignment="1" applyProtection="1">
      <alignment horizontal="center" vertical="center" wrapText="1"/>
      <protection hidden="1"/>
    </xf>
    <xf numFmtId="0" fontId="16" fillId="0" borderId="0" xfId="0" applyFont="1" applyAlignment="1" applyProtection="1">
      <alignment horizontal="center"/>
      <protection hidden="1"/>
    </xf>
    <xf numFmtId="0" fontId="79" fillId="0" borderId="0" xfId="0" applyFont="1" applyProtection="1">
      <protection hidden="1"/>
    </xf>
    <xf numFmtId="0" fontId="79" fillId="0" borderId="0" xfId="0" applyFont="1" applyAlignment="1" applyProtection="1">
      <alignment horizontal="center"/>
      <protection hidden="1"/>
    </xf>
    <xf numFmtId="0" fontId="79" fillId="0" borderId="0" xfId="0" applyFont="1" applyAlignment="1" applyProtection="1">
      <alignment horizontal="center" vertical="center"/>
      <protection hidden="1"/>
    </xf>
    <xf numFmtId="0" fontId="79" fillId="0" borderId="0" xfId="0" applyFont="1" applyAlignment="1" applyProtection="1">
      <alignment horizontal="justify" vertical="center" wrapText="1"/>
      <protection hidden="1"/>
    </xf>
    <xf numFmtId="0" fontId="79" fillId="0" borderId="0" xfId="0" applyFont="1" applyAlignment="1" applyProtection="1">
      <alignment vertical="center" wrapText="1"/>
      <protection hidden="1"/>
    </xf>
    <xf numFmtId="0" fontId="79" fillId="0" borderId="0" xfId="0" applyFont="1" applyAlignment="1" applyProtection="1">
      <alignment horizontal="left"/>
      <protection hidden="1"/>
    </xf>
    <xf numFmtId="0" fontId="79" fillId="0" borderId="9" xfId="0" applyFont="1" applyBorder="1" applyAlignment="1" applyProtection="1">
      <alignment horizontal="center" vertical="center" wrapText="1"/>
      <protection hidden="1"/>
    </xf>
    <xf numFmtId="0" fontId="79" fillId="0" borderId="9" xfId="0" applyFont="1" applyBorder="1" applyProtection="1">
      <protection locked="0"/>
    </xf>
    <xf numFmtId="0" fontId="79" fillId="0" borderId="9" xfId="0" applyFont="1" applyBorder="1" applyAlignment="1" applyProtection="1">
      <alignment horizontal="center" vertical="center"/>
      <protection hidden="1"/>
    </xf>
    <xf numFmtId="0" fontId="79" fillId="0" borderId="0" xfId="0" applyFont="1" applyAlignment="1" applyProtection="1">
      <alignment horizontal="left" vertical="center" wrapText="1"/>
      <protection hidden="1"/>
    </xf>
    <xf numFmtId="0" fontId="79" fillId="0" borderId="9" xfId="0" applyFont="1" applyBorder="1" applyProtection="1">
      <protection hidden="1"/>
    </xf>
    <xf numFmtId="0" fontId="79" fillId="0" borderId="9" xfId="0" applyFont="1" applyBorder="1" applyAlignment="1" applyProtection="1">
      <alignment horizontal="center" vertical="center"/>
      <protection locked="0"/>
    </xf>
    <xf numFmtId="0" fontId="79" fillId="0" borderId="9" xfId="0" applyFont="1" applyBorder="1" applyAlignment="1" applyProtection="1">
      <alignment vertical="center"/>
      <protection hidden="1"/>
    </xf>
    <xf numFmtId="0" fontId="84" fillId="0" borderId="9" xfId="0" applyFont="1" applyBorder="1" applyAlignment="1" applyProtection="1">
      <alignment horizontal="center" vertical="center" wrapText="1"/>
      <protection hidden="1"/>
    </xf>
    <xf numFmtId="0" fontId="85" fillId="0" borderId="9" xfId="0" applyFont="1" applyBorder="1" applyAlignment="1" applyProtection="1">
      <alignment horizontal="center" vertical="center" wrapText="1"/>
      <protection hidden="1"/>
    </xf>
    <xf numFmtId="0" fontId="84" fillId="0" borderId="0" xfId="0" applyFont="1" applyAlignment="1" applyProtection="1">
      <alignment horizontal="center" vertical="center" wrapText="1"/>
      <protection hidden="1"/>
    </xf>
    <xf numFmtId="0" fontId="79" fillId="0" borderId="9" xfId="0" applyFont="1" applyBorder="1" applyAlignment="1" applyProtection="1">
      <alignment horizontal="left"/>
      <protection locked="0"/>
    </xf>
    <xf numFmtId="0" fontId="79" fillId="0" borderId="0" xfId="0" applyFont="1" applyAlignment="1" applyProtection="1">
      <alignment horizontal="center" vertical="center" wrapText="1"/>
      <protection hidden="1"/>
    </xf>
    <xf numFmtId="0" fontId="81" fillId="0" borderId="9" xfId="0" applyFont="1" applyBorder="1" applyAlignment="1" applyProtection="1">
      <alignment horizontal="center" vertical="center"/>
      <protection hidden="1"/>
    </xf>
    <xf numFmtId="0" fontId="81" fillId="6" borderId="9" xfId="0" applyFont="1" applyFill="1" applyBorder="1" applyAlignment="1" applyProtection="1">
      <alignment horizontal="center" vertical="center" wrapText="1"/>
      <protection hidden="1"/>
    </xf>
    <xf numFmtId="0" fontId="81" fillId="0" borderId="9" xfId="0" applyFont="1" applyBorder="1" applyProtection="1">
      <protection hidden="1"/>
    </xf>
    <xf numFmtId="0" fontId="81" fillId="0" borderId="9" xfId="0" applyFont="1" applyBorder="1" applyAlignment="1" applyProtection="1">
      <alignment horizontal="center"/>
      <protection hidden="1"/>
    </xf>
    <xf numFmtId="0" fontId="79" fillId="0" borderId="9" xfId="0" applyFont="1" applyBorder="1" applyAlignment="1" applyProtection="1">
      <alignment horizontal="right"/>
      <protection locked="0"/>
    </xf>
    <xf numFmtId="0" fontId="69" fillId="0" borderId="0" xfId="0" applyFont="1" applyProtection="1">
      <protection hidden="1"/>
    </xf>
    <xf numFmtId="165" fontId="69" fillId="0" borderId="0" xfId="0" applyNumberFormat="1" applyFont="1" applyProtection="1">
      <protection hidden="1"/>
    </xf>
    <xf numFmtId="0" fontId="69" fillId="0" borderId="0" xfId="0" applyFont="1" applyBorder="1" applyProtection="1">
      <protection hidden="1"/>
    </xf>
    <xf numFmtId="0" fontId="69" fillId="0" borderId="0" xfId="0" applyFont="1" applyAlignment="1" applyProtection="1">
      <alignment horizontal="center"/>
      <protection hidden="1"/>
    </xf>
    <xf numFmtId="0" fontId="74" fillId="0" borderId="9" xfId="0" applyFont="1" applyBorder="1" applyAlignment="1" applyProtection="1">
      <alignment horizontal="center"/>
      <protection hidden="1"/>
    </xf>
    <xf numFmtId="0" fontId="69" fillId="0" borderId="9" xfId="0" applyFont="1" applyBorder="1" applyAlignment="1" applyProtection="1">
      <alignment horizontal="right"/>
      <protection hidden="1"/>
    </xf>
    <xf numFmtId="0" fontId="69" fillId="0" borderId="9" xfId="0" applyFont="1" applyBorder="1" applyProtection="1">
      <protection hidden="1"/>
    </xf>
    <xf numFmtId="0" fontId="69" fillId="0" borderId="9" xfId="0" applyFont="1" applyBorder="1" applyAlignment="1" applyProtection="1">
      <alignment horizontal="center"/>
      <protection hidden="1"/>
    </xf>
    <xf numFmtId="0" fontId="90" fillId="0" borderId="9" xfId="0" applyFont="1" applyBorder="1" applyAlignment="1" applyProtection="1">
      <alignment horizontal="right"/>
      <protection hidden="1"/>
    </xf>
    <xf numFmtId="165" fontId="69" fillId="0" borderId="9" xfId="1" applyFont="1" applyBorder="1" applyAlignment="1" applyProtection="1">
      <alignment horizontal="justify"/>
      <protection hidden="1"/>
    </xf>
    <xf numFmtId="0" fontId="69" fillId="0" borderId="9" xfId="0" applyFont="1" applyBorder="1" applyAlignment="1" applyProtection="1">
      <alignment horizontal="center" vertical="center"/>
      <protection hidden="1"/>
    </xf>
    <xf numFmtId="165" fontId="69" fillId="0" borderId="9" xfId="1" applyFont="1" applyBorder="1" applyAlignment="1" applyProtection="1">
      <alignment horizontal="justify" vertical="center"/>
      <protection hidden="1"/>
    </xf>
    <xf numFmtId="165" fontId="77" fillId="0" borderId="9" xfId="0" applyNumberFormat="1" applyFont="1" applyBorder="1" applyProtection="1">
      <protection hidden="1"/>
    </xf>
    <xf numFmtId="0" fontId="74" fillId="0" borderId="9" xfId="0" applyFont="1" applyBorder="1" applyAlignment="1" applyProtection="1">
      <alignment horizontal="left" wrapText="1"/>
      <protection hidden="1"/>
    </xf>
    <xf numFmtId="0" fontId="90" fillId="0" borderId="9" xfId="0" applyFont="1" applyBorder="1" applyAlignment="1" applyProtection="1">
      <alignment horizontal="right" vertical="center"/>
      <protection hidden="1"/>
    </xf>
    <xf numFmtId="165" fontId="102" fillId="0" borderId="1" xfId="2" applyFont="1" applyBorder="1" applyAlignment="1" applyProtection="1">
      <alignment horizontal="justify" vertical="center" wrapText="1"/>
      <protection hidden="1"/>
    </xf>
    <xf numFmtId="0" fontId="18" fillId="0" borderId="0" xfId="0" applyFont="1" applyAlignment="1" applyProtection="1">
      <alignment horizontal="center" vertical="center" wrapText="1"/>
      <protection hidden="1"/>
    </xf>
    <xf numFmtId="0" fontId="2" fillId="0" borderId="0" xfId="0" applyFont="1" applyBorder="1" applyAlignment="1" applyProtection="1">
      <alignment horizontal="left" vertical="top" wrapText="1"/>
      <protection hidden="1"/>
    </xf>
    <xf numFmtId="0" fontId="32" fillId="0" borderId="1" xfId="0" applyFont="1" applyBorder="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16" fillId="0" borderId="0" xfId="0" applyFont="1" applyBorder="1" applyAlignment="1" applyProtection="1">
      <alignment horizontal="center" vertical="center" wrapText="1"/>
      <protection hidden="1"/>
    </xf>
    <xf numFmtId="0" fontId="13" fillId="0" borderId="0" xfId="0" applyFont="1" applyBorder="1" applyAlignment="1" applyProtection="1">
      <alignment horizontal="left" vertical="center" wrapText="1"/>
      <protection hidden="1"/>
    </xf>
    <xf numFmtId="165" fontId="16" fillId="0" borderId="0" xfId="3" applyFont="1" applyBorder="1" applyAlignment="1" applyProtection="1">
      <alignment horizontal="center" vertical="center" wrapText="1"/>
      <protection hidden="1"/>
    </xf>
    <xf numFmtId="173" fontId="2" fillId="0" borderId="0" xfId="0" applyNumberFormat="1" applyFont="1" applyAlignment="1" applyProtection="1">
      <alignment horizontal="center"/>
      <protection hidden="1"/>
    </xf>
    <xf numFmtId="0" fontId="70" fillId="0" borderId="9" xfId="0" applyFont="1" applyBorder="1" applyAlignment="1" applyProtection="1">
      <alignment horizontal="center" vertical="center" wrapText="1"/>
      <protection hidden="1"/>
    </xf>
    <xf numFmtId="0" fontId="70" fillId="0" borderId="0" xfId="0" applyFont="1" applyAlignment="1" applyProtection="1">
      <alignment horizontal="center" vertical="center" wrapText="1"/>
      <protection hidden="1"/>
    </xf>
    <xf numFmtId="17" fontId="69" fillId="0" borderId="9" xfId="0" applyNumberFormat="1" applyFont="1" applyBorder="1" applyProtection="1">
      <protection hidden="1"/>
    </xf>
    <xf numFmtId="0" fontId="70" fillId="0" borderId="9" xfId="0" applyFont="1" applyBorder="1" applyProtection="1">
      <protection hidden="1"/>
    </xf>
    <xf numFmtId="4" fontId="69" fillId="0" borderId="9" xfId="0" applyNumberFormat="1" applyFont="1" applyBorder="1" applyProtection="1">
      <protection hidden="1"/>
    </xf>
    <xf numFmtId="0" fontId="69" fillId="0" borderId="15" xfId="0" applyFont="1" applyBorder="1" applyProtection="1">
      <protection hidden="1"/>
    </xf>
    <xf numFmtId="0" fontId="69" fillId="0" borderId="61" xfId="0" applyFont="1" applyBorder="1" applyProtection="1">
      <protection hidden="1"/>
    </xf>
    <xf numFmtId="0" fontId="69" fillId="0" borderId="62" xfId="0" applyFont="1" applyBorder="1" applyProtection="1">
      <protection hidden="1"/>
    </xf>
    <xf numFmtId="0" fontId="69" fillId="0" borderId="63" xfId="0" applyFont="1" applyBorder="1" applyProtection="1">
      <protection hidden="1"/>
    </xf>
    <xf numFmtId="4" fontId="69" fillId="0" borderId="16" xfId="0" applyNumberFormat="1" applyFont="1" applyBorder="1" applyProtection="1">
      <protection hidden="1"/>
    </xf>
    <xf numFmtId="4" fontId="77" fillId="0" borderId="1" xfId="0" applyNumberFormat="1" applyFont="1" applyBorder="1" applyProtection="1">
      <protection hidden="1"/>
    </xf>
    <xf numFmtId="4" fontId="69" fillId="0" borderId="0" xfId="0" applyNumberFormat="1" applyFont="1" applyProtection="1">
      <protection hidden="1"/>
    </xf>
    <xf numFmtId="0" fontId="1" fillId="0" borderId="0" xfId="0" applyFont="1" applyProtection="1">
      <protection hidden="1"/>
    </xf>
    <xf numFmtId="0" fontId="110" fillId="0" borderId="1" xfId="6" applyFont="1" applyBorder="1" applyAlignment="1" applyProtection="1">
      <alignment horizontal="center" vertical="center" wrapText="1"/>
      <protection hidden="1"/>
    </xf>
    <xf numFmtId="0" fontId="4" fillId="12" borderId="2" xfId="0" applyFont="1" applyFill="1" applyBorder="1" applyAlignment="1" applyProtection="1">
      <alignment horizontal="left" vertical="center" wrapText="1"/>
      <protection hidden="1"/>
    </xf>
    <xf numFmtId="17" fontId="14" fillId="10" borderId="1" xfId="0" applyNumberFormat="1" applyFont="1" applyFill="1" applyBorder="1" applyAlignment="1" applyProtection="1">
      <alignment horizontal="center" vertical="center" wrapText="1"/>
      <protection hidden="1"/>
    </xf>
    <xf numFmtId="0" fontId="4" fillId="12" borderId="1" xfId="0" applyFont="1" applyFill="1" applyBorder="1" applyAlignment="1" applyProtection="1">
      <alignment horizontal="left" vertical="center" wrapText="1"/>
      <protection hidden="1"/>
    </xf>
    <xf numFmtId="0" fontId="81" fillId="11" borderId="9" xfId="0" applyFont="1" applyFill="1" applyBorder="1" applyProtection="1">
      <protection locked="0"/>
    </xf>
    <xf numFmtId="0" fontId="111" fillId="10" borderId="1" xfId="0" applyFont="1" applyFill="1" applyBorder="1" applyAlignment="1" applyProtection="1">
      <alignment horizontal="center" vertical="center" wrapText="1"/>
      <protection hidden="1"/>
    </xf>
    <xf numFmtId="0" fontId="99" fillId="0" borderId="3" xfId="6" applyFont="1" applyBorder="1" applyAlignment="1" applyProtection="1">
      <alignment horizontal="left" vertical="center" wrapText="1"/>
      <protection hidden="1"/>
    </xf>
    <xf numFmtId="0" fontId="103" fillId="0" borderId="1" xfId="6" applyFont="1" applyBorder="1" applyAlignment="1" applyProtection="1">
      <alignment horizontal="center" vertical="center" wrapText="1"/>
      <protection hidden="1"/>
    </xf>
    <xf numFmtId="14" fontId="69" fillId="0" borderId="0" xfId="0" applyNumberFormat="1" applyFont="1" applyAlignment="1" applyProtection="1">
      <alignment horizontal="center" vertical="center" wrapText="1"/>
      <protection hidden="1"/>
    </xf>
    <xf numFmtId="4" fontId="69" fillId="0" borderId="1" xfId="0" applyNumberFormat="1" applyFont="1" applyBorder="1" applyAlignment="1" applyProtection="1">
      <alignment vertical="center"/>
      <protection locked="0"/>
    </xf>
    <xf numFmtId="4" fontId="69" fillId="0" borderId="3" xfId="0" applyNumberFormat="1" applyFont="1" applyBorder="1" applyAlignment="1" applyProtection="1">
      <alignment vertical="center"/>
      <protection locked="0"/>
    </xf>
    <xf numFmtId="4" fontId="69" fillId="0" borderId="6" xfId="0" applyNumberFormat="1" applyFont="1" applyBorder="1" applyAlignment="1" applyProtection="1">
      <alignment vertical="center"/>
      <protection locked="0"/>
    </xf>
    <xf numFmtId="0" fontId="87" fillId="0" borderId="11" xfId="0" applyFont="1" applyBorder="1" applyAlignment="1" applyProtection="1">
      <alignment horizontal="center" vertical="center" wrapText="1"/>
      <protection hidden="1"/>
    </xf>
    <xf numFmtId="0" fontId="0" fillId="0" borderId="0" xfId="0" applyProtection="1">
      <protection hidden="1"/>
    </xf>
    <xf numFmtId="0" fontId="1" fillId="0" borderId="0" xfId="0" applyFont="1" applyAlignment="1" applyProtection="1">
      <alignment horizontal="center"/>
      <protection hidden="1"/>
    </xf>
    <xf numFmtId="0" fontId="0" fillId="0" borderId="0" xfId="0" applyAlignment="1" applyProtection="1">
      <alignment horizontal="center"/>
      <protection hidden="1"/>
    </xf>
    <xf numFmtId="0" fontId="8" fillId="0" borderId="1" xfId="0" applyFont="1" applyBorder="1" applyAlignment="1" applyProtection="1">
      <alignment horizontal="center" vertical="center" wrapText="1"/>
      <protection hidden="1"/>
    </xf>
    <xf numFmtId="165" fontId="13" fillId="0" borderId="1" xfId="1" applyFont="1" applyBorder="1" applyProtection="1">
      <protection hidden="1"/>
    </xf>
    <xf numFmtId="165" fontId="14" fillId="0" borderId="1" xfId="1" applyFont="1" applyBorder="1" applyProtection="1">
      <protection hidden="1"/>
    </xf>
    <xf numFmtId="0" fontId="8" fillId="0" borderId="1" xfId="0" applyFont="1" applyBorder="1" applyAlignment="1" applyProtection="1">
      <alignment horizontal="center" vertical="center" wrapText="1"/>
      <protection hidden="1"/>
    </xf>
    <xf numFmtId="166" fontId="2" fillId="11" borderId="1" xfId="4" applyFont="1" applyFill="1" applyBorder="1" applyProtection="1">
      <protection locked="0"/>
    </xf>
    <xf numFmtId="0" fontId="4" fillId="12" borderId="2" xfId="0" applyFont="1" applyFill="1" applyBorder="1" applyAlignment="1" applyProtection="1">
      <alignment horizontal="left" vertical="center" wrapText="1"/>
      <protection hidden="1"/>
    </xf>
    <xf numFmtId="0" fontId="4" fillId="12" borderId="1" xfId="0" applyFont="1" applyFill="1" applyBorder="1" applyAlignment="1" applyProtection="1">
      <alignment horizontal="left" vertical="center" wrapText="1"/>
      <protection hidden="1"/>
    </xf>
    <xf numFmtId="165" fontId="69" fillId="0" borderId="9" xfId="1" applyFont="1" applyBorder="1" applyAlignment="1" applyProtection="1">
      <alignment horizontal="justify" vertical="center"/>
      <protection hidden="1"/>
    </xf>
    <xf numFmtId="0" fontId="69" fillId="0" borderId="9" xfId="0" applyFont="1" applyBorder="1" applyAlignment="1" applyProtection="1">
      <alignment horizontal="center" vertical="center"/>
      <protection hidden="1"/>
    </xf>
    <xf numFmtId="0" fontId="6" fillId="0" borderId="0" xfId="0" applyFont="1" applyAlignment="1" applyProtection="1">
      <alignment horizontal="center" vertical="center" wrapText="1"/>
      <protection hidden="1"/>
    </xf>
    <xf numFmtId="0" fontId="67" fillId="0" borderId="0" xfId="0" applyFont="1" applyAlignment="1" applyProtection="1">
      <alignment horizontal="center" vertical="center" wrapText="1"/>
      <protection hidden="1"/>
    </xf>
    <xf numFmtId="0" fontId="2" fillId="0" borderId="0" xfId="8" applyFont="1" applyAlignment="1" applyProtection="1">
      <alignment vertical="center" wrapText="1"/>
      <protection hidden="1"/>
    </xf>
    <xf numFmtId="175" fontId="69" fillId="11" borderId="1" xfId="9" applyNumberFormat="1" applyFont="1" applyFill="1" applyBorder="1" applyAlignment="1" applyProtection="1">
      <alignment horizontal="right" vertical="center" wrapText="1"/>
      <protection locked="0"/>
    </xf>
    <xf numFmtId="0" fontId="69" fillId="0" borderId="0" xfId="8" applyFont="1" applyAlignment="1" applyProtection="1">
      <alignment vertical="center" wrapText="1"/>
      <protection hidden="1"/>
    </xf>
    <xf numFmtId="0" fontId="74" fillId="11" borderId="68" xfId="8" applyFont="1" applyFill="1" applyBorder="1" applyAlignment="1" applyProtection="1">
      <alignment horizontal="center" vertical="center" wrapText="1"/>
      <protection locked="0"/>
    </xf>
    <xf numFmtId="0" fontId="71" fillId="23" borderId="1" xfId="8" applyFont="1" applyFill="1" applyBorder="1" applyAlignment="1" applyProtection="1">
      <alignment horizontal="center" vertical="center" wrapText="1"/>
      <protection hidden="1"/>
    </xf>
    <xf numFmtId="0" fontId="8" fillId="23" borderId="1" xfId="8" applyFont="1" applyFill="1" applyBorder="1" applyAlignment="1" applyProtection="1">
      <alignment horizontal="center" vertical="center" wrapText="1"/>
      <protection hidden="1"/>
    </xf>
    <xf numFmtId="175" fontId="2" fillId="11" borderId="1" xfId="9" applyNumberFormat="1" applyFont="1" applyFill="1" applyBorder="1" applyAlignment="1" applyProtection="1">
      <alignment vertical="center" wrapText="1"/>
      <protection locked="0"/>
    </xf>
    <xf numFmtId="175" fontId="74" fillId="25" borderId="1" xfId="9" applyNumberFormat="1" applyFont="1" applyFill="1" applyBorder="1" applyAlignment="1" applyProtection="1">
      <alignment horizontal="right" vertical="center" wrapText="1"/>
      <protection hidden="1"/>
    </xf>
    <xf numFmtId="0" fontId="8" fillId="0" borderId="0" xfId="8" applyFont="1" applyAlignment="1" applyProtection="1">
      <alignment vertical="center" wrapText="1"/>
      <protection hidden="1"/>
    </xf>
    <xf numFmtId="175" fontId="8" fillId="25" borderId="1" xfId="9" applyNumberFormat="1" applyFont="1" applyFill="1" applyBorder="1" applyAlignment="1" applyProtection="1">
      <alignment vertical="center" wrapText="1"/>
      <protection hidden="1"/>
    </xf>
    <xf numFmtId="170" fontId="8" fillId="11" borderId="0" xfId="8" applyNumberFormat="1" applyFont="1" applyFill="1" applyAlignment="1" applyProtection="1">
      <alignment horizontal="center" wrapText="1"/>
      <protection locked="0"/>
    </xf>
    <xf numFmtId="0" fontId="67" fillId="0" borderId="0" xfId="14" applyProtection="1">
      <protection hidden="1"/>
    </xf>
    <xf numFmtId="0" fontId="67" fillId="0" borderId="0" xfId="14" applyAlignment="1" applyProtection="1">
      <alignment vertical="center" wrapText="1"/>
      <protection hidden="1"/>
    </xf>
    <xf numFmtId="0" fontId="67" fillId="0" borderId="0" xfId="14" applyFont="1" applyAlignment="1" applyProtection="1">
      <alignment vertical="center"/>
      <protection hidden="1"/>
    </xf>
    <xf numFmtId="0" fontId="67" fillId="0" borderId="0" xfId="14" applyFont="1" applyAlignment="1" applyProtection="1">
      <alignment horizontal="center" vertical="center" wrapText="1"/>
      <protection hidden="1"/>
    </xf>
    <xf numFmtId="0" fontId="67" fillId="0" borderId="0" xfId="14" applyFont="1" applyAlignment="1" applyProtection="1">
      <alignment horizontal="justify" vertical="center" wrapText="1"/>
      <protection hidden="1"/>
    </xf>
    <xf numFmtId="0" fontId="67" fillId="0" borderId="0" xfId="14" applyAlignment="1" applyProtection="1">
      <alignment horizontal="justify" vertical="center" wrapText="1"/>
      <protection hidden="1"/>
    </xf>
    <xf numFmtId="0" fontId="67" fillId="0" borderId="0" xfId="14" applyFont="1" applyProtection="1">
      <protection hidden="1"/>
    </xf>
    <xf numFmtId="14" fontId="69" fillId="15" borderId="68" xfId="14" applyNumberFormat="1" applyFont="1" applyFill="1" applyBorder="1" applyProtection="1">
      <protection hidden="1"/>
    </xf>
    <xf numFmtId="0" fontId="66" fillId="0" borderId="9" xfId="14" applyFont="1" applyBorder="1" applyAlignment="1" applyProtection="1">
      <alignment vertical="center" wrapText="1"/>
      <protection hidden="1"/>
    </xf>
    <xf numFmtId="0" fontId="67" fillId="0" borderId="9" xfId="14" applyFont="1" applyBorder="1" applyAlignment="1" applyProtection="1">
      <alignment horizontal="center" vertical="center" wrapText="1"/>
      <protection hidden="1"/>
    </xf>
    <xf numFmtId="0" fontId="67" fillId="0" borderId="9" xfId="14" applyFont="1" applyBorder="1" applyAlignment="1" applyProtection="1">
      <alignment vertical="center" wrapText="1"/>
      <protection hidden="1"/>
    </xf>
    <xf numFmtId="0" fontId="69" fillId="0" borderId="0" xfId="14" applyFont="1" applyAlignment="1" applyProtection="1">
      <alignment horizontal="justify" vertical="center" wrapText="1"/>
      <protection hidden="1"/>
    </xf>
    <xf numFmtId="0" fontId="74" fillId="0" borderId="0" xfId="14" applyFont="1" applyAlignment="1" applyProtection="1">
      <alignment vertical="center" wrapText="1"/>
      <protection hidden="1"/>
    </xf>
    <xf numFmtId="4" fontId="75" fillId="0" borderId="1" xfId="3" applyNumberFormat="1" applyFont="1" applyBorder="1" applyAlignment="1" applyProtection="1">
      <alignment horizontal="right" vertical="center" wrapText="1"/>
      <protection hidden="1"/>
    </xf>
    <xf numFmtId="0" fontId="0" fillId="0" borderId="0" xfId="0" applyProtection="1">
      <protection hidden="1"/>
    </xf>
    <xf numFmtId="167" fontId="75" fillId="0" borderId="11" xfId="0" applyNumberFormat="1" applyFont="1" applyBorder="1" applyAlignment="1" applyProtection="1">
      <alignment horizontal="center" vertical="center" wrapText="1"/>
      <protection hidden="1"/>
    </xf>
    <xf numFmtId="4" fontId="70" fillId="0" borderId="13" xfId="3" applyNumberFormat="1" applyFont="1" applyBorder="1" applyAlignment="1" applyProtection="1">
      <alignment horizontal="center" vertical="center" wrapText="1"/>
      <protection hidden="1"/>
    </xf>
    <xf numFmtId="4" fontId="71" fillId="0" borderId="1" xfId="0" applyNumberFormat="1" applyFont="1" applyBorder="1" applyAlignment="1" applyProtection="1">
      <alignment horizontal="right" vertical="center" wrapText="1"/>
      <protection hidden="1"/>
    </xf>
    <xf numFmtId="0" fontId="67" fillId="0" borderId="0" xfId="0" applyFont="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3" fontId="74" fillId="0" borderId="1" xfId="0" applyNumberFormat="1" applyFont="1" applyBorder="1" applyAlignment="1" applyProtection="1">
      <alignment horizontal="right" vertical="center"/>
      <protection locked="0"/>
    </xf>
    <xf numFmtId="0" fontId="0" fillId="0" borderId="0" xfId="0" applyProtection="1">
      <protection hidden="1"/>
    </xf>
    <xf numFmtId="0" fontId="8" fillId="0" borderId="0" xfId="0" applyFont="1" applyAlignment="1" applyProtection="1">
      <alignment horizontal="left"/>
      <protection hidden="1"/>
    </xf>
    <xf numFmtId="165" fontId="8" fillId="0" borderId="0" xfId="1" applyFont="1" applyBorder="1" applyAlignment="1" applyProtection="1">
      <alignment horizontal="center"/>
      <protection hidden="1"/>
    </xf>
    <xf numFmtId="0" fontId="8" fillId="0" borderId="1" xfId="0" applyFont="1" applyBorder="1" applyAlignment="1" applyProtection="1">
      <alignment horizontal="center" vertical="center" wrapText="1"/>
      <protection hidden="1"/>
    </xf>
    <xf numFmtId="2" fontId="69" fillId="0" borderId="0" xfId="0" applyNumberFormat="1" applyFont="1" applyProtection="1">
      <protection hidden="1"/>
    </xf>
    <xf numFmtId="166" fontId="2" fillId="11" borderId="1" xfId="4" applyFont="1" applyFill="1" applyBorder="1" applyProtection="1">
      <protection hidden="1"/>
    </xf>
    <xf numFmtId="0" fontId="8" fillId="0" borderId="1" xfId="0" applyFont="1" applyBorder="1" applyAlignment="1" applyProtection="1">
      <alignment horizontal="center" vertical="center" wrapText="1"/>
      <protection hidden="1"/>
    </xf>
    <xf numFmtId="0" fontId="74" fillId="0" borderId="9" xfId="0" applyFont="1" applyBorder="1" applyAlignment="1" applyProtection="1">
      <alignment horizontal="center"/>
      <protection hidden="1"/>
    </xf>
    <xf numFmtId="0" fontId="74" fillId="0" borderId="9" xfId="0" applyFont="1" applyBorder="1" applyAlignment="1" applyProtection="1">
      <alignment horizontal="center" vertical="center"/>
      <protection hidden="1"/>
    </xf>
    <xf numFmtId="0" fontId="12" fillId="0" borderId="1"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horizontal="justify" vertical="center" wrapText="1"/>
      <protection hidden="1"/>
    </xf>
    <xf numFmtId="0" fontId="4" fillId="12" borderId="6" xfId="0" applyFont="1" applyFill="1" applyBorder="1" applyAlignment="1" applyProtection="1">
      <alignment horizontal="left" vertical="center" wrapText="1"/>
      <protection hidden="1"/>
    </xf>
    <xf numFmtId="10" fontId="3" fillId="0" borderId="14" xfId="0" applyNumberFormat="1" applyFont="1" applyBorder="1" applyAlignment="1" applyProtection="1">
      <alignment horizontal="right" vertical="center" wrapText="1"/>
      <protection hidden="1"/>
    </xf>
    <xf numFmtId="0" fontId="4" fillId="12" borderId="1" xfId="0" applyFont="1" applyFill="1" applyBorder="1" applyAlignment="1" applyProtection="1">
      <alignment horizontal="center" vertical="center" wrapText="1"/>
      <protection hidden="1"/>
    </xf>
    <xf numFmtId="0" fontId="4" fillId="12" borderId="2" xfId="0" applyFont="1" applyFill="1" applyBorder="1" applyAlignment="1" applyProtection="1">
      <alignment horizontal="center" vertical="center" wrapText="1"/>
      <protection hidden="1"/>
    </xf>
    <xf numFmtId="0" fontId="4" fillId="12" borderId="1" xfId="0" applyFont="1" applyFill="1" applyBorder="1" applyAlignment="1" applyProtection="1">
      <alignment horizontal="center" vertical="center" wrapText="1"/>
      <protection hidden="1"/>
    </xf>
    <xf numFmtId="166" fontId="2" fillId="15" borderId="1" xfId="4" applyFont="1" applyFill="1" applyBorder="1" applyProtection="1">
      <protection locked="0"/>
    </xf>
    <xf numFmtId="166" fontId="2" fillId="15" borderId="1" xfId="4" applyFont="1" applyFill="1" applyBorder="1" applyProtection="1">
      <protection hidden="1"/>
    </xf>
    <xf numFmtId="0" fontId="81" fillId="0" borderId="9" xfId="0" applyFont="1" applyBorder="1" applyAlignment="1" applyProtection="1">
      <alignment horizontal="center" vertical="center"/>
      <protection hidden="1"/>
    </xf>
    <xf numFmtId="0" fontId="6" fillId="0" borderId="0" xfId="0" applyFont="1" applyAlignment="1" applyProtection="1">
      <alignment horizontal="center" vertical="center" wrapText="1"/>
      <protection hidden="1"/>
    </xf>
    <xf numFmtId="17" fontId="70" fillId="0" borderId="13" xfId="0" applyNumberFormat="1" applyFont="1" applyBorder="1" applyAlignment="1" applyProtection="1">
      <alignment horizontal="left" vertical="center" wrapText="1"/>
      <protection hidden="1"/>
    </xf>
    <xf numFmtId="0" fontId="4" fillId="11" borderId="1" xfId="0" applyFont="1" applyFill="1" applyBorder="1" applyAlignment="1" applyProtection="1">
      <alignment horizontal="left" vertical="center" wrapText="1"/>
      <protection hidden="1"/>
    </xf>
    <xf numFmtId="0" fontId="99" fillId="0" borderId="3" xfId="6" applyFont="1" applyBorder="1" applyAlignment="1" applyProtection="1">
      <alignment horizontal="left" vertical="center" wrapText="1"/>
      <protection hidden="1"/>
    </xf>
    <xf numFmtId="0" fontId="6" fillId="0" borderId="0" xfId="0" applyFont="1" applyAlignment="1" applyProtection="1">
      <alignment horizontal="center" vertical="center" wrapText="1"/>
      <protection hidden="1"/>
    </xf>
    <xf numFmtId="0" fontId="67" fillId="0" borderId="0" xfId="0" applyFont="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74" fillId="0" borderId="1" xfId="0" applyFont="1" applyBorder="1" applyProtection="1">
      <protection hidden="1"/>
    </xf>
    <xf numFmtId="9" fontId="74" fillId="0" borderId="1" xfId="0" applyNumberFormat="1" applyFont="1" applyBorder="1" applyProtection="1">
      <protection hidden="1"/>
    </xf>
    <xf numFmtId="9" fontId="74" fillId="0" borderId="1" xfId="7" applyFont="1" applyBorder="1" applyProtection="1">
      <protection hidden="1"/>
    </xf>
    <xf numFmtId="0" fontId="162" fillId="11" borderId="0" xfId="0" applyFont="1" applyFill="1" applyBorder="1" applyAlignment="1" applyProtection="1">
      <alignment horizontal="center" vertical="center" wrapText="1"/>
      <protection locked="0"/>
    </xf>
    <xf numFmtId="0" fontId="112" fillId="16" borderId="1" xfId="0" applyFont="1" applyFill="1" applyBorder="1" applyAlignment="1">
      <alignment horizontal="center" vertical="center" wrapText="1"/>
    </xf>
    <xf numFmtId="0" fontId="21" fillId="0" borderId="0" xfId="5" applyAlignment="1" applyProtection="1">
      <alignment horizontal="center" vertical="center"/>
    </xf>
    <xf numFmtId="0" fontId="21" fillId="11" borderId="0" xfId="5" applyFill="1" applyAlignment="1" applyProtection="1">
      <alignment horizontal="center" vertical="center"/>
    </xf>
    <xf numFmtId="0" fontId="21" fillId="0" borderId="0" xfId="5" applyAlignment="1" applyProtection="1">
      <alignment horizontal="center" vertical="center" wrapText="1"/>
    </xf>
    <xf numFmtId="0" fontId="0" fillId="7" borderId="0" xfId="0" applyFill="1" applyAlignment="1" applyProtection="1">
      <alignment horizontal="justify" vertical="center"/>
      <protection hidden="1"/>
    </xf>
    <xf numFmtId="0" fontId="1" fillId="7" borderId="0" xfId="0" applyFont="1" applyFill="1" applyAlignment="1" applyProtection="1">
      <alignment horizontal="justify" vertical="center"/>
      <protection hidden="1"/>
    </xf>
    <xf numFmtId="0" fontId="0" fillId="8" borderId="0" xfId="0" applyFill="1" applyAlignment="1" applyProtection="1">
      <alignment horizontal="center"/>
      <protection hidden="1"/>
    </xf>
    <xf numFmtId="0" fontId="48" fillId="7" borderId="0" xfId="0" applyFont="1" applyFill="1" applyAlignment="1" applyProtection="1">
      <alignment horizontal="justify" vertical="center"/>
      <protection hidden="1"/>
    </xf>
    <xf numFmtId="0" fontId="49" fillId="7" borderId="0" xfId="0" applyFont="1" applyFill="1" applyAlignment="1" applyProtection="1">
      <alignment horizontal="center" vertical="center"/>
      <protection hidden="1"/>
    </xf>
    <xf numFmtId="0" fontId="0" fillId="7" borderId="0" xfId="0" applyFill="1" applyAlignment="1" applyProtection="1">
      <alignment horizontal="justify" vertical="center" wrapText="1"/>
      <protection hidden="1"/>
    </xf>
    <xf numFmtId="0" fontId="48" fillId="7" borderId="0" xfId="0" applyFont="1" applyFill="1" applyAlignment="1" applyProtection="1">
      <alignment horizontal="right" vertical="center"/>
      <protection hidden="1"/>
    </xf>
    <xf numFmtId="0" fontId="44" fillId="7" borderId="0" xfId="0" applyFont="1" applyFill="1" applyAlignment="1" applyProtection="1">
      <alignment horizontal="center"/>
      <protection hidden="1"/>
    </xf>
    <xf numFmtId="0" fontId="0" fillId="7" borderId="0" xfId="0" applyFill="1" applyAlignment="1" applyProtection="1">
      <alignment horizontal="center"/>
      <protection hidden="1"/>
    </xf>
    <xf numFmtId="0" fontId="49" fillId="7" borderId="0" xfId="0" applyFont="1" applyFill="1" applyAlignment="1" applyProtection="1">
      <alignment horizontal="justify" vertical="center"/>
      <protection hidden="1"/>
    </xf>
    <xf numFmtId="0" fontId="50" fillId="7" borderId="0" xfId="0" applyFont="1" applyFill="1" applyAlignment="1" applyProtection="1">
      <alignment horizontal="justify" vertical="center"/>
      <protection hidden="1"/>
    </xf>
    <xf numFmtId="0" fontId="46" fillId="7" borderId="0" xfId="0" applyFont="1" applyFill="1" applyAlignment="1" applyProtection="1">
      <alignment horizontal="center"/>
      <protection hidden="1"/>
    </xf>
    <xf numFmtId="0" fontId="113" fillId="7" borderId="0" xfId="0" applyFont="1" applyFill="1" applyAlignment="1" applyProtection="1">
      <alignment horizontal="center"/>
      <protection hidden="1"/>
    </xf>
    <xf numFmtId="0" fontId="45" fillId="7" borderId="0" xfId="0" applyFont="1" applyFill="1" applyAlignment="1" applyProtection="1">
      <alignment horizontal="center"/>
      <protection hidden="1"/>
    </xf>
    <xf numFmtId="0" fontId="49" fillId="7" borderId="0" xfId="0" applyFont="1" applyFill="1" applyAlignment="1" applyProtection="1">
      <alignment horizontal="center"/>
      <protection hidden="1"/>
    </xf>
    <xf numFmtId="0" fontId="49" fillId="7" borderId="0" xfId="0" applyFont="1" applyFill="1" applyAlignment="1" applyProtection="1">
      <alignment horizontal="left"/>
      <protection hidden="1"/>
    </xf>
    <xf numFmtId="0" fontId="1" fillId="7" borderId="0" xfId="0" applyFont="1" applyFill="1" applyAlignment="1" applyProtection="1">
      <alignment horizontal="left"/>
      <protection hidden="1"/>
    </xf>
    <xf numFmtId="0" fontId="0" fillId="7" borderId="0" xfId="0" applyFill="1" applyAlignment="1" applyProtection="1">
      <alignment horizontal="left"/>
      <protection hidden="1"/>
    </xf>
    <xf numFmtId="0" fontId="1" fillId="7" borderId="0" xfId="0" applyFont="1" applyFill="1" applyAlignment="1" applyProtection="1">
      <alignment horizontal="left" wrapText="1"/>
      <protection hidden="1"/>
    </xf>
    <xf numFmtId="0" fontId="0" fillId="7" borderId="0" xfId="0" applyFill="1" applyAlignment="1" applyProtection="1">
      <alignment horizontal="left" wrapText="1"/>
      <protection hidden="1"/>
    </xf>
    <xf numFmtId="0" fontId="47" fillId="7" borderId="0" xfId="0" applyFont="1" applyFill="1" applyAlignment="1" applyProtection="1">
      <alignment horizontal="justify" vertical="center"/>
      <protection hidden="1"/>
    </xf>
    <xf numFmtId="0" fontId="57" fillId="7" borderId="0" xfId="0" applyFont="1" applyFill="1" applyAlignment="1" applyProtection="1">
      <alignment horizontal="justify" vertical="center"/>
      <protection hidden="1"/>
    </xf>
    <xf numFmtId="0" fontId="1" fillId="7" borderId="0" xfId="0" applyFont="1" applyFill="1" applyAlignment="1" applyProtection="1">
      <alignment horizontal="justify" vertical="top" wrapText="1"/>
      <protection hidden="1"/>
    </xf>
    <xf numFmtId="0" fontId="0" fillId="7" borderId="0" xfId="0" applyFill="1" applyAlignment="1" applyProtection="1">
      <alignment horizontal="justify" vertical="top" wrapText="1"/>
      <protection hidden="1"/>
    </xf>
    <xf numFmtId="0" fontId="79" fillId="0" borderId="0" xfId="0" applyFont="1" applyAlignment="1" applyProtection="1">
      <alignment horizontal="center"/>
      <protection hidden="1"/>
    </xf>
    <xf numFmtId="0" fontId="79" fillId="0" borderId="9" xfId="0" applyFont="1" applyBorder="1" applyAlignment="1" applyProtection="1">
      <alignment horizontal="left"/>
      <protection hidden="1"/>
    </xf>
    <xf numFmtId="0" fontId="79" fillId="11" borderId="9" xfId="0" applyFont="1" applyFill="1" applyBorder="1" applyAlignment="1" applyProtection="1">
      <alignment horizontal="left"/>
      <protection locked="0"/>
    </xf>
    <xf numFmtId="1" fontId="79" fillId="11" borderId="9" xfId="0" applyNumberFormat="1" applyFont="1" applyFill="1" applyBorder="1" applyAlignment="1" applyProtection="1">
      <alignment horizontal="left"/>
      <protection locked="0"/>
    </xf>
    <xf numFmtId="14" fontId="79" fillId="11" borderId="26" xfId="0" applyNumberFormat="1" applyFont="1" applyFill="1" applyBorder="1" applyAlignment="1" applyProtection="1">
      <alignment horizontal="center"/>
      <protection locked="0"/>
    </xf>
    <xf numFmtId="0" fontId="79" fillId="11" borderId="27" xfId="0" applyFont="1" applyFill="1" applyBorder="1" applyAlignment="1" applyProtection="1">
      <alignment horizontal="center"/>
      <protection locked="0"/>
    </xf>
    <xf numFmtId="0" fontId="79" fillId="0" borderId="9" xfId="0" applyFont="1" applyBorder="1" applyAlignment="1" applyProtection="1">
      <alignment horizontal="center" vertical="center" wrapText="1"/>
      <protection hidden="1"/>
    </xf>
    <xf numFmtId="0" fontId="79" fillId="0" borderId="0" xfId="0" applyFont="1" applyAlignment="1" applyProtection="1">
      <alignment horizontal="left"/>
      <protection hidden="1"/>
    </xf>
    <xf numFmtId="0" fontId="79" fillId="11" borderId="1" xfId="0" applyFont="1" applyFill="1" applyBorder="1" applyAlignment="1" applyProtection="1">
      <alignment horizontal="left"/>
      <protection locked="0"/>
    </xf>
    <xf numFmtId="0" fontId="80" fillId="0" borderId="0" xfId="0" applyFont="1" applyAlignment="1" applyProtection="1">
      <alignment horizontal="center"/>
      <protection hidden="1"/>
    </xf>
    <xf numFmtId="165" fontId="81" fillId="0" borderId="9" xfId="1" applyFont="1" applyBorder="1" applyAlignment="1" applyProtection="1">
      <alignment horizontal="center"/>
      <protection locked="0"/>
    </xf>
    <xf numFmtId="0" fontId="79" fillId="0" borderId="0" xfId="0" applyFont="1" applyAlignment="1" applyProtection="1">
      <alignment horizontal="justify" vertical="center" wrapText="1"/>
      <protection hidden="1"/>
    </xf>
    <xf numFmtId="0" fontId="81" fillId="0" borderId="9" xfId="0" applyFont="1" applyBorder="1" applyAlignment="1" applyProtection="1">
      <alignment horizontal="left"/>
      <protection hidden="1"/>
    </xf>
    <xf numFmtId="0" fontId="79" fillId="0" borderId="0" xfId="0" quotePrefix="1" applyFont="1" applyAlignment="1" applyProtection="1">
      <alignment horizontal="justify" vertical="center" wrapText="1"/>
      <protection hidden="1"/>
    </xf>
    <xf numFmtId="0" fontId="79" fillId="0" borderId="17" xfId="0" applyFont="1" applyBorder="1" applyAlignment="1" applyProtection="1">
      <alignment horizontal="center"/>
      <protection locked="0"/>
    </xf>
    <xf numFmtId="0" fontId="79" fillId="0" borderId="19" xfId="0" applyFont="1" applyBorder="1" applyAlignment="1" applyProtection="1">
      <alignment horizontal="center"/>
      <protection locked="0"/>
    </xf>
    <xf numFmtId="0" fontId="79" fillId="0" borderId="26" xfId="0" applyFont="1" applyBorder="1" applyAlignment="1" applyProtection="1">
      <alignment horizontal="center"/>
      <protection locked="0"/>
    </xf>
    <xf numFmtId="0" fontId="79" fillId="0" borderId="27" xfId="0" applyFont="1" applyBorder="1" applyAlignment="1" applyProtection="1">
      <alignment horizontal="center"/>
      <protection locked="0"/>
    </xf>
    <xf numFmtId="0" fontId="81" fillId="0" borderId="9" xfId="0" applyFont="1" applyBorder="1" applyAlignment="1" applyProtection="1">
      <alignment horizontal="left" vertical="center" wrapText="1"/>
      <protection hidden="1"/>
    </xf>
    <xf numFmtId="0" fontId="81" fillId="0" borderId="9" xfId="0" applyFont="1" applyBorder="1" applyAlignment="1" applyProtection="1">
      <alignment horizontal="left" vertical="top" wrapText="1"/>
      <protection hidden="1"/>
    </xf>
    <xf numFmtId="0" fontId="82" fillId="0" borderId="17" xfId="0" applyFont="1" applyBorder="1" applyAlignment="1" applyProtection="1">
      <alignment horizontal="center"/>
      <protection hidden="1"/>
    </xf>
    <xf numFmtId="0" fontId="82" fillId="0" borderId="18" xfId="0" applyFont="1" applyBorder="1" applyAlignment="1" applyProtection="1">
      <alignment horizontal="center"/>
      <protection hidden="1"/>
    </xf>
    <xf numFmtId="0" fontId="82" fillId="0" borderId="19" xfId="0" applyFont="1" applyBorder="1" applyAlignment="1" applyProtection="1">
      <alignment horizontal="center"/>
      <protection hidden="1"/>
    </xf>
    <xf numFmtId="0" fontId="79" fillId="0" borderId="9" xfId="0" applyFont="1" applyBorder="1" applyAlignment="1" applyProtection="1">
      <alignment horizontal="left"/>
      <protection locked="0"/>
    </xf>
    <xf numFmtId="0" fontId="79" fillId="0" borderId="0" xfId="0" applyFont="1" applyAlignment="1" applyProtection="1">
      <alignment horizontal="center" vertical="center" wrapText="1"/>
      <protection hidden="1"/>
    </xf>
    <xf numFmtId="0" fontId="81" fillId="6" borderId="9" xfId="0" applyFont="1" applyFill="1" applyBorder="1" applyAlignment="1" applyProtection="1">
      <alignment horizontal="center" vertical="center" wrapText="1"/>
      <protection hidden="1"/>
    </xf>
    <xf numFmtId="0" fontId="79" fillId="0" borderId="9" xfId="0" applyFont="1" applyBorder="1" applyAlignment="1" applyProtection="1">
      <alignment horizontal="center"/>
      <protection locked="0"/>
    </xf>
    <xf numFmtId="1" fontId="79" fillId="0" borderId="9" xfId="0" applyNumberFormat="1" applyFont="1" applyBorder="1" applyAlignment="1" applyProtection="1">
      <alignment horizontal="right"/>
      <protection locked="0"/>
    </xf>
    <xf numFmtId="0" fontId="84" fillId="0" borderId="28" xfId="0" applyFont="1" applyBorder="1" applyAlignment="1" applyProtection="1">
      <alignment horizontal="center"/>
      <protection hidden="1"/>
    </xf>
    <xf numFmtId="0" fontId="81" fillId="0" borderId="9" xfId="0" applyFont="1" applyBorder="1" applyAlignment="1" applyProtection="1">
      <alignment horizontal="center" vertical="center"/>
      <protection hidden="1"/>
    </xf>
    <xf numFmtId="0" fontId="79" fillId="0" borderId="9" xfId="0" applyFont="1" applyBorder="1" applyAlignment="1" applyProtection="1">
      <alignment horizontal="center" vertical="center"/>
      <protection hidden="1"/>
    </xf>
    <xf numFmtId="0" fontId="81" fillId="0" borderId="20" xfId="0" applyFont="1" applyBorder="1" applyAlignment="1" applyProtection="1">
      <alignment horizontal="center" vertical="top" wrapText="1"/>
      <protection hidden="1"/>
    </xf>
    <xf numFmtId="0" fontId="81" fillId="0" borderId="21" xfId="0" applyFont="1" applyBorder="1" applyAlignment="1" applyProtection="1">
      <alignment horizontal="center" vertical="top" wrapText="1"/>
      <protection hidden="1"/>
    </xf>
    <xf numFmtId="0" fontId="81" fillId="0" borderId="22" xfId="0" applyFont="1" applyBorder="1" applyAlignment="1" applyProtection="1">
      <alignment horizontal="center" vertical="top" wrapText="1"/>
      <protection hidden="1"/>
    </xf>
    <xf numFmtId="0" fontId="81" fillId="0" borderId="23" xfId="0" applyFont="1" applyBorder="1" applyAlignment="1" applyProtection="1">
      <alignment horizontal="center" vertical="top" wrapText="1"/>
      <protection hidden="1"/>
    </xf>
    <xf numFmtId="0" fontId="81" fillId="0" borderId="24" xfId="0" applyFont="1" applyBorder="1" applyAlignment="1" applyProtection="1">
      <alignment horizontal="center" vertical="top" wrapText="1"/>
      <protection hidden="1"/>
    </xf>
    <xf numFmtId="0" fontId="81" fillId="0" borderId="25" xfId="0" applyFont="1" applyBorder="1" applyAlignment="1" applyProtection="1">
      <alignment horizontal="center" vertical="top" wrapText="1"/>
      <protection hidden="1"/>
    </xf>
    <xf numFmtId="0" fontId="81" fillId="0" borderId="0" xfId="0" applyFont="1" applyBorder="1" applyAlignment="1" applyProtection="1">
      <alignment horizontal="left" vertical="center" wrapText="1"/>
      <protection hidden="1"/>
    </xf>
    <xf numFmtId="0" fontId="82" fillId="0" borderId="9" xfId="0" applyFont="1" applyBorder="1" applyAlignment="1" applyProtection="1">
      <alignment horizontal="center"/>
      <protection hidden="1"/>
    </xf>
    <xf numFmtId="0" fontId="79" fillId="0" borderId="0" xfId="0" applyFont="1" applyAlignment="1" applyProtection="1">
      <alignment horizontal="left" vertical="center" wrapText="1"/>
      <protection hidden="1"/>
    </xf>
    <xf numFmtId="0" fontId="79" fillId="0" borderId="0" xfId="0" applyFont="1" applyAlignment="1" applyProtection="1">
      <alignment horizontal="right" vertical="center" wrapText="1"/>
      <protection hidden="1"/>
    </xf>
    <xf numFmtId="0" fontId="83" fillId="0" borderId="75" xfId="0" applyFont="1" applyBorder="1" applyAlignment="1" applyProtection="1">
      <alignment horizontal="justify" vertical="center" wrapText="1"/>
      <protection locked="0"/>
    </xf>
    <xf numFmtId="0" fontId="83" fillId="0" borderId="0" xfId="0" applyFont="1" applyAlignment="1" applyProtection="1">
      <alignment horizontal="justify" vertical="center" wrapText="1"/>
      <protection hidden="1"/>
    </xf>
    <xf numFmtId="0" fontId="84" fillId="0" borderId="9" xfId="0" applyFont="1" applyBorder="1" applyAlignment="1" applyProtection="1">
      <alignment horizontal="center" vertical="center" wrapText="1"/>
      <protection hidden="1"/>
    </xf>
    <xf numFmtId="0" fontId="67" fillId="0" borderId="9" xfId="14" applyFont="1" applyBorder="1" applyAlignment="1" applyProtection="1">
      <alignment horizontal="center" vertical="center" wrapText="1"/>
      <protection hidden="1"/>
    </xf>
    <xf numFmtId="0" fontId="67" fillId="0" borderId="69" xfId="14" applyBorder="1" applyAlignment="1" applyProtection="1">
      <alignment horizontal="center" vertical="center" wrapText="1"/>
      <protection hidden="1"/>
    </xf>
    <xf numFmtId="0" fontId="67" fillId="0" borderId="70" xfId="14" applyBorder="1" applyAlignment="1" applyProtection="1">
      <alignment horizontal="center" vertical="center" wrapText="1"/>
      <protection hidden="1"/>
    </xf>
    <xf numFmtId="0" fontId="67" fillId="0" borderId="71" xfId="14" applyBorder="1" applyAlignment="1" applyProtection="1">
      <alignment horizontal="center" vertical="center" wrapText="1"/>
      <protection hidden="1"/>
    </xf>
    <xf numFmtId="0" fontId="67" fillId="0" borderId="72" xfId="14" applyBorder="1" applyAlignment="1" applyProtection="1">
      <alignment horizontal="center" vertical="center" wrapText="1"/>
      <protection hidden="1"/>
    </xf>
    <xf numFmtId="0" fontId="67" fillId="0" borderId="73" xfId="14" applyBorder="1" applyAlignment="1" applyProtection="1">
      <alignment horizontal="center" vertical="center" wrapText="1"/>
      <protection hidden="1"/>
    </xf>
    <xf numFmtId="0" fontId="67" fillId="0" borderId="74" xfId="14" applyBorder="1" applyAlignment="1" applyProtection="1">
      <alignment horizontal="center" vertical="center" wrapText="1"/>
      <protection hidden="1"/>
    </xf>
    <xf numFmtId="0" fontId="74" fillId="0" borderId="0" xfId="14" applyFont="1" applyAlignment="1" applyProtection="1">
      <alignment horizontal="center"/>
      <protection hidden="1"/>
    </xf>
    <xf numFmtId="0" fontId="67" fillId="0" borderId="9" xfId="14" applyFont="1" applyBorder="1" applyAlignment="1" applyProtection="1">
      <alignment horizontal="left" vertical="center" wrapText="1"/>
      <protection hidden="1"/>
    </xf>
    <xf numFmtId="165" fontId="67" fillId="0" borderId="9" xfId="14" applyNumberFormat="1" applyFont="1" applyBorder="1" applyAlignment="1" applyProtection="1">
      <alignment horizontal="center" vertical="center" wrapText="1"/>
      <protection hidden="1"/>
    </xf>
    <xf numFmtId="175" fontId="136" fillId="0" borderId="9" xfId="15" applyNumberFormat="1" applyFont="1" applyBorder="1" applyAlignment="1" applyProtection="1">
      <alignment horizontal="center" vertical="center" wrapText="1"/>
      <protection hidden="1"/>
    </xf>
    <xf numFmtId="165" fontId="149" fillId="0" borderId="9" xfId="14" applyNumberFormat="1" applyFont="1" applyBorder="1" applyAlignment="1" applyProtection="1">
      <alignment horizontal="center" vertical="center" wrapText="1"/>
      <protection hidden="1"/>
    </xf>
    <xf numFmtId="0" fontId="149" fillId="0" borderId="9" xfId="14" applyFont="1" applyBorder="1" applyAlignment="1" applyProtection="1">
      <alignment horizontal="center" vertical="center" wrapText="1"/>
      <protection hidden="1"/>
    </xf>
    <xf numFmtId="0" fontId="67" fillId="0" borderId="26" xfId="14" applyFont="1" applyBorder="1" applyAlignment="1" applyProtection="1">
      <alignment horizontal="left" vertical="center" wrapText="1"/>
      <protection hidden="1"/>
    </xf>
    <xf numFmtId="0" fontId="67" fillId="0" borderId="40" xfId="14" applyFont="1" applyBorder="1" applyAlignment="1" applyProtection="1">
      <alignment horizontal="left" vertical="center" wrapText="1"/>
      <protection hidden="1"/>
    </xf>
    <xf numFmtId="0" fontId="67" fillId="0" borderId="27" xfId="14" applyFont="1" applyBorder="1" applyAlignment="1" applyProtection="1">
      <alignment horizontal="left" vertical="center" wrapText="1"/>
      <protection hidden="1"/>
    </xf>
    <xf numFmtId="175" fontId="67" fillId="0" borderId="9" xfId="15" applyNumberFormat="1" applyFont="1" applyBorder="1" applyAlignment="1" applyProtection="1">
      <alignment horizontal="center" vertical="center" wrapText="1"/>
      <protection hidden="1"/>
    </xf>
    <xf numFmtId="0" fontId="66" fillId="0" borderId="9" xfId="14" applyFont="1" applyBorder="1" applyAlignment="1" applyProtection="1">
      <alignment horizontal="center" vertical="center" wrapText="1"/>
      <protection hidden="1"/>
    </xf>
    <xf numFmtId="0" fontId="66" fillId="0" borderId="26" xfId="14" applyFont="1" applyBorder="1" applyAlignment="1" applyProtection="1">
      <alignment horizontal="left" vertical="center" wrapText="1"/>
      <protection hidden="1"/>
    </xf>
    <xf numFmtId="0" fontId="66" fillId="0" borderId="40" xfId="14" applyFont="1" applyBorder="1" applyAlignment="1" applyProtection="1">
      <alignment horizontal="left" vertical="center" wrapText="1"/>
      <protection hidden="1"/>
    </xf>
    <xf numFmtId="0" fontId="66" fillId="0" borderId="27" xfId="14" applyFont="1" applyBorder="1" applyAlignment="1" applyProtection="1">
      <alignment horizontal="left" vertical="center" wrapText="1"/>
      <protection hidden="1"/>
    </xf>
    <xf numFmtId="0" fontId="133" fillId="0" borderId="0" xfId="14" applyFont="1" applyAlignment="1" applyProtection="1">
      <alignment horizontal="center"/>
      <protection hidden="1"/>
    </xf>
    <xf numFmtId="0" fontId="67" fillId="0" borderId="0" xfId="14" applyFont="1" applyAlignment="1" applyProtection="1">
      <alignment horizontal="justify" vertical="center" wrapText="1"/>
      <protection hidden="1"/>
    </xf>
    <xf numFmtId="0" fontId="67" fillId="0" borderId="0" xfId="14" applyAlignment="1" applyProtection="1">
      <alignment horizontal="justify" vertical="center" wrapText="1"/>
      <protection hidden="1"/>
    </xf>
    <xf numFmtId="0" fontId="66" fillId="0" borderId="0" xfId="14" applyFont="1" applyAlignment="1" applyProtection="1">
      <alignment horizontal="center" vertical="center"/>
      <protection hidden="1"/>
    </xf>
    <xf numFmtId="0" fontId="67" fillId="0" borderId="0" xfId="14" applyFont="1" applyAlignment="1" applyProtection="1">
      <alignment horizontal="left" vertical="center" wrapText="1"/>
      <protection hidden="1"/>
    </xf>
    <xf numFmtId="0" fontId="67" fillId="0" borderId="0" xfId="14" applyAlignment="1" applyProtection="1">
      <alignment horizontal="left" vertical="center" wrapText="1"/>
      <protection hidden="1"/>
    </xf>
    <xf numFmtId="0" fontId="75" fillId="0" borderId="0" xfId="14" applyFont="1" applyAlignment="1" applyProtection="1">
      <alignment horizontal="center"/>
      <protection hidden="1"/>
    </xf>
    <xf numFmtId="0" fontId="72" fillId="0" borderId="0" xfId="14" applyFont="1" applyAlignment="1" applyProtection="1">
      <alignment horizontal="center"/>
      <protection hidden="1"/>
    </xf>
    <xf numFmtId="0" fontId="68" fillId="0" borderId="0" xfId="14" applyFont="1" applyAlignment="1" applyProtection="1">
      <alignment horizontal="center"/>
      <protection hidden="1"/>
    </xf>
    <xf numFmtId="0" fontId="66" fillId="15" borderId="0" xfId="14" applyFont="1" applyFill="1" applyAlignment="1" applyProtection="1">
      <alignment horizontal="center"/>
      <protection hidden="1"/>
    </xf>
    <xf numFmtId="0" fontId="133" fillId="0" borderId="0" xfId="14" applyFont="1" applyAlignment="1" applyProtection="1">
      <alignment horizontal="center" vertical="center" wrapText="1"/>
      <protection hidden="1"/>
    </xf>
    <xf numFmtId="0" fontId="67" fillId="0" borderId="0" xfId="14" applyFont="1" applyAlignment="1" applyProtection="1">
      <alignment horizontal="center"/>
      <protection hidden="1"/>
    </xf>
    <xf numFmtId="0" fontId="67" fillId="0" borderId="0" xfId="14" applyAlignment="1" applyProtection="1">
      <alignment horizontal="center"/>
      <protection hidden="1"/>
    </xf>
    <xf numFmtId="175" fontId="66" fillId="0" borderId="0" xfId="15" applyNumberFormat="1" applyFont="1" applyAlignment="1" applyProtection="1">
      <alignment horizontal="center" vertical="center" wrapText="1"/>
      <protection hidden="1"/>
    </xf>
    <xf numFmtId="0" fontId="67" fillId="0" borderId="0" xfId="14" applyAlignment="1" applyProtection="1">
      <alignment horizontal="center" vertical="center"/>
      <protection hidden="1"/>
    </xf>
    <xf numFmtId="1" fontId="66" fillId="0" borderId="0" xfId="14" applyNumberFormat="1" applyFont="1" applyAlignment="1" applyProtection="1">
      <alignment horizontal="left" vertical="center" wrapText="1"/>
      <protection hidden="1"/>
    </xf>
    <xf numFmtId="0" fontId="66" fillId="0" borderId="0" xfId="14" applyFont="1" applyAlignment="1" applyProtection="1">
      <alignment horizontal="left" vertical="center" wrapText="1"/>
      <protection hidden="1"/>
    </xf>
    <xf numFmtId="0" fontId="67" fillId="0" borderId="0" xfId="14" applyAlignment="1" applyProtection="1">
      <alignment horizontal="center" vertical="center" wrapText="1"/>
      <protection hidden="1"/>
    </xf>
    <xf numFmtId="0" fontId="66" fillId="0" borderId="0" xfId="14" applyFont="1" applyAlignment="1" applyProtection="1">
      <alignment horizontal="center"/>
      <protection hidden="1"/>
    </xf>
    <xf numFmtId="0" fontId="133" fillId="0" borderId="0" xfId="14" applyFont="1" applyAlignment="1" applyProtection="1">
      <alignment horizontal="justify" vertical="center" wrapText="1"/>
      <protection hidden="1"/>
    </xf>
    <xf numFmtId="0" fontId="67" fillId="0" borderId="0" xfId="14" applyFont="1" applyAlignment="1" applyProtection="1">
      <alignment horizontal="left" vertical="center"/>
      <protection hidden="1"/>
    </xf>
    <xf numFmtId="0" fontId="66" fillId="0" borderId="0" xfId="14" applyFont="1" applyAlignment="1" applyProtection="1">
      <alignment horizontal="left"/>
      <protection hidden="1"/>
    </xf>
    <xf numFmtId="0" fontId="67" fillId="0" borderId="1" xfId="14" applyFont="1" applyBorder="1" applyAlignment="1" applyProtection="1">
      <alignment horizontal="left" vertical="center" wrapText="1"/>
      <protection hidden="1"/>
    </xf>
    <xf numFmtId="0" fontId="67" fillId="0" borderId="1" xfId="14" applyBorder="1" applyAlignment="1" applyProtection="1">
      <alignment horizontal="left" vertical="center" wrapText="1"/>
      <protection hidden="1"/>
    </xf>
    <xf numFmtId="175" fontId="66" fillId="0" borderId="1" xfId="16" applyNumberFormat="1" applyFont="1" applyBorder="1" applyAlignment="1" applyProtection="1">
      <alignment horizontal="center" vertical="center" wrapText="1"/>
      <protection hidden="1"/>
    </xf>
    <xf numFmtId="175" fontId="0" fillId="0" borderId="1" xfId="16" applyNumberFormat="1" applyFont="1" applyBorder="1" applyAlignment="1" applyProtection="1">
      <alignment horizontal="center" vertical="center" wrapText="1"/>
      <protection hidden="1"/>
    </xf>
    <xf numFmtId="0" fontId="67" fillId="0" borderId="3" xfId="14" applyFont="1" applyBorder="1" applyAlignment="1" applyProtection="1">
      <alignment horizontal="left" vertical="center" wrapText="1"/>
      <protection hidden="1"/>
    </xf>
    <xf numFmtId="0" fontId="67" fillId="0" borderId="5" xfId="14" applyBorder="1" applyAlignment="1" applyProtection="1">
      <alignment horizontal="left" vertical="center" wrapText="1"/>
      <protection hidden="1"/>
    </xf>
    <xf numFmtId="0" fontId="67" fillId="0" borderId="6" xfId="14" applyBorder="1" applyAlignment="1" applyProtection="1">
      <alignment horizontal="left" vertical="center" wrapText="1"/>
      <protection hidden="1"/>
    </xf>
    <xf numFmtId="175" fontId="0" fillId="27" borderId="1" xfId="16" applyNumberFormat="1" applyFont="1" applyFill="1" applyBorder="1" applyAlignment="1" applyProtection="1">
      <alignment horizontal="center" vertical="center" wrapText="1"/>
      <protection hidden="1"/>
    </xf>
    <xf numFmtId="0" fontId="66" fillId="0" borderId="1" xfId="14" applyFont="1" applyBorder="1" applyAlignment="1" applyProtection="1">
      <alignment horizontal="center" vertical="center" wrapText="1"/>
      <protection hidden="1"/>
    </xf>
    <xf numFmtId="0" fontId="133" fillId="0" borderId="21" xfId="14" applyFont="1" applyBorder="1" applyAlignment="1" applyProtection="1">
      <alignment horizontal="center" vertical="center" wrapText="1"/>
      <protection hidden="1"/>
    </xf>
    <xf numFmtId="175" fontId="74" fillId="0" borderId="1" xfId="16" applyNumberFormat="1" applyFont="1" applyBorder="1" applyAlignment="1" applyProtection="1">
      <alignment horizontal="center" vertical="center" wrapText="1"/>
      <protection hidden="1"/>
    </xf>
    <xf numFmtId="0" fontId="77" fillId="0" borderId="30" xfId="14" applyFont="1" applyBorder="1" applyAlignment="1" applyProtection="1">
      <alignment horizontal="center"/>
      <protection hidden="1"/>
    </xf>
    <xf numFmtId="0" fontId="74" fillId="0" borderId="1" xfId="14" applyFont="1" applyBorder="1" applyAlignment="1" applyProtection="1">
      <alignment horizontal="center" vertical="center" wrapText="1"/>
      <protection hidden="1"/>
    </xf>
    <xf numFmtId="175" fontId="136" fillId="0" borderId="1" xfId="16" applyNumberFormat="1" applyFont="1" applyBorder="1" applyAlignment="1" applyProtection="1">
      <alignment horizontal="center" vertical="center" wrapText="1"/>
      <protection hidden="1"/>
    </xf>
    <xf numFmtId="0" fontId="136" fillId="0" borderId="1" xfId="14" applyFont="1" applyBorder="1" applyAlignment="1" applyProtection="1">
      <alignment horizontal="center" vertical="center" wrapText="1"/>
      <protection hidden="1"/>
    </xf>
    <xf numFmtId="0" fontId="71" fillId="0" borderId="1" xfId="14" applyFont="1" applyBorder="1" applyAlignment="1" applyProtection="1">
      <alignment horizontal="center" vertical="center" wrapText="1"/>
      <protection hidden="1"/>
    </xf>
    <xf numFmtId="0" fontId="66" fillId="0" borderId="0" xfId="14" applyFont="1" applyAlignment="1" applyProtection="1">
      <alignment horizontal="center" vertical="center" wrapText="1"/>
      <protection hidden="1"/>
    </xf>
    <xf numFmtId="0" fontId="68" fillId="0" borderId="0" xfId="14" applyFont="1" applyAlignment="1" applyProtection="1">
      <alignment horizontal="center" vertical="center" wrapText="1"/>
      <protection hidden="1"/>
    </xf>
    <xf numFmtId="0" fontId="71" fillId="0" borderId="1" xfId="14" applyFont="1" applyBorder="1" applyAlignment="1" applyProtection="1">
      <alignment horizontal="justify" vertical="center" wrapText="1"/>
      <protection hidden="1"/>
    </xf>
    <xf numFmtId="0" fontId="69" fillId="0" borderId="1" xfId="14" applyFont="1" applyBorder="1" applyAlignment="1" applyProtection="1">
      <alignment horizontal="justify" vertical="center" wrapText="1"/>
      <protection hidden="1"/>
    </xf>
    <xf numFmtId="0" fontId="74" fillId="25" borderId="1" xfId="8" applyFont="1" applyFill="1" applyBorder="1" applyAlignment="1" applyProtection="1">
      <alignment horizontal="center" vertical="center" wrapText="1"/>
      <protection hidden="1"/>
    </xf>
    <xf numFmtId="175" fontId="74" fillId="25" borderId="1" xfId="9" applyNumberFormat="1" applyFont="1" applyFill="1" applyBorder="1" applyAlignment="1" applyProtection="1">
      <alignment horizontal="center" vertical="center" wrapText="1"/>
      <protection hidden="1"/>
    </xf>
    <xf numFmtId="165" fontId="74" fillId="25" borderId="3" xfId="8" applyNumberFormat="1" applyFont="1" applyFill="1" applyBorder="1" applyAlignment="1" applyProtection="1">
      <alignment horizontal="center" vertical="center" wrapText="1"/>
      <protection hidden="1"/>
    </xf>
    <xf numFmtId="0" fontId="74" fillId="25" borderId="6" xfId="8" applyFont="1" applyFill="1" applyBorder="1" applyAlignment="1" applyProtection="1">
      <alignment horizontal="center" vertical="center" wrapText="1"/>
      <protection hidden="1"/>
    </xf>
    <xf numFmtId="0" fontId="2" fillId="21" borderId="0" xfId="8" applyFont="1" applyFill="1" applyAlignment="1" applyProtection="1">
      <alignment horizontal="center" vertical="center" wrapText="1"/>
      <protection hidden="1"/>
    </xf>
    <xf numFmtId="0" fontId="69" fillId="25" borderId="1" xfId="8" applyFont="1" applyFill="1" applyBorder="1" applyAlignment="1" applyProtection="1">
      <alignment horizontal="center" vertical="center" wrapText="1"/>
      <protection hidden="1"/>
    </xf>
    <xf numFmtId="175" fontId="69" fillId="11" borderId="1" xfId="9" applyNumberFormat="1" applyFont="1" applyFill="1" applyBorder="1" applyAlignment="1" applyProtection="1">
      <alignment horizontal="center" vertical="center" wrapText="1"/>
      <protection locked="0"/>
    </xf>
    <xf numFmtId="165" fontId="132" fillId="26" borderId="3" xfId="8" applyNumberFormat="1" applyFont="1" applyFill="1" applyBorder="1" applyAlignment="1" applyProtection="1">
      <alignment horizontal="center" vertical="center" wrapText="1"/>
      <protection hidden="1"/>
    </xf>
    <xf numFmtId="0" fontId="132" fillId="26" borderId="6" xfId="8" applyFont="1" applyFill="1" applyBorder="1" applyAlignment="1" applyProtection="1">
      <alignment horizontal="center" vertical="center" wrapText="1"/>
      <protection hidden="1"/>
    </xf>
    <xf numFmtId="0" fontId="69" fillId="23" borderId="1" xfId="8" applyFont="1" applyFill="1" applyBorder="1" applyAlignment="1" applyProtection="1">
      <alignment horizontal="center" vertical="center" wrapText="1"/>
      <protection hidden="1"/>
    </xf>
    <xf numFmtId="0" fontId="69" fillId="23" borderId="5" xfId="8" applyFont="1" applyFill="1" applyBorder="1" applyAlignment="1" applyProtection="1">
      <alignment horizontal="center" vertical="center" wrapText="1"/>
      <protection hidden="1"/>
    </xf>
    <xf numFmtId="0" fontId="69" fillId="23" borderId="6" xfId="8" applyFont="1" applyFill="1" applyBorder="1" applyAlignment="1" applyProtection="1">
      <alignment horizontal="center" vertical="center" wrapText="1"/>
      <protection hidden="1"/>
    </xf>
    <xf numFmtId="0" fontId="77" fillId="23" borderId="3" xfId="8" applyFont="1" applyFill="1" applyBorder="1" applyAlignment="1" applyProtection="1">
      <alignment horizontal="center" vertical="center" wrapText="1"/>
      <protection hidden="1"/>
    </xf>
    <xf numFmtId="0" fontId="77" fillId="23" borderId="6" xfId="8" applyFont="1" applyFill="1" applyBorder="1" applyAlignment="1" applyProtection="1">
      <alignment horizontal="center" vertical="center" wrapText="1"/>
      <protection hidden="1"/>
    </xf>
    <xf numFmtId="0" fontId="88" fillId="22" borderId="1" xfId="8" applyFont="1" applyFill="1" applyBorder="1" applyAlignment="1" applyProtection="1">
      <alignment horizontal="center" vertical="center" wrapText="1"/>
      <protection hidden="1"/>
    </xf>
    <xf numFmtId="0" fontId="74" fillId="0" borderId="0" xfId="8" applyFont="1" applyAlignment="1" applyProtection="1">
      <alignment horizontal="left" vertical="center" wrapText="1"/>
      <protection hidden="1"/>
    </xf>
    <xf numFmtId="0" fontId="131" fillId="24" borderId="1" xfId="8" applyFont="1" applyFill="1" applyBorder="1" applyAlignment="1" applyProtection="1">
      <alignment horizontal="center" vertical="center" wrapText="1"/>
      <protection hidden="1"/>
    </xf>
    <xf numFmtId="0" fontId="4" fillId="12" borderId="2" xfId="0" applyFont="1" applyFill="1" applyBorder="1" applyAlignment="1" applyProtection="1">
      <alignment horizontal="center" vertical="center" wrapText="1"/>
      <protection hidden="1"/>
    </xf>
    <xf numFmtId="0" fontId="4" fillId="12" borderId="14" xfId="0" applyFont="1" applyFill="1" applyBorder="1" applyAlignment="1" applyProtection="1">
      <alignment horizontal="center" vertical="center" wrapText="1"/>
      <protection hidden="1"/>
    </xf>
    <xf numFmtId="0" fontId="33" fillId="11" borderId="3" xfId="0" applyFont="1" applyFill="1" applyBorder="1" applyAlignment="1" applyProtection="1">
      <alignment horizontal="left" vertical="center" wrapText="1"/>
      <protection locked="0"/>
    </xf>
    <xf numFmtId="0" fontId="33" fillId="11" borderId="5" xfId="0" applyFont="1" applyFill="1" applyBorder="1" applyAlignment="1" applyProtection="1">
      <alignment horizontal="left" vertical="center" wrapText="1"/>
      <protection locked="0"/>
    </xf>
    <xf numFmtId="0" fontId="33" fillId="11" borderId="6" xfId="0" applyFont="1" applyFill="1" applyBorder="1" applyAlignment="1" applyProtection="1">
      <alignment horizontal="left" vertical="center" wrapText="1"/>
      <protection locked="0"/>
    </xf>
    <xf numFmtId="0" fontId="3" fillId="10" borderId="3" xfId="0" applyFont="1" applyFill="1" applyBorder="1" applyAlignment="1" applyProtection="1">
      <alignment horizontal="left" vertical="center" wrapText="1"/>
      <protection hidden="1"/>
    </xf>
    <xf numFmtId="0" fontId="3" fillId="10" borderId="5" xfId="0" applyFont="1" applyFill="1" applyBorder="1" applyAlignment="1" applyProtection="1">
      <alignment horizontal="left" vertical="center" wrapText="1"/>
      <protection hidden="1"/>
    </xf>
    <xf numFmtId="0" fontId="3" fillId="10" borderId="6" xfId="0" applyFont="1" applyFill="1" applyBorder="1" applyAlignment="1" applyProtection="1">
      <alignment horizontal="left" vertical="center" wrapText="1"/>
      <protection hidden="1"/>
    </xf>
    <xf numFmtId="0" fontId="3" fillId="10" borderId="1" xfId="0" applyFont="1" applyFill="1" applyBorder="1" applyAlignment="1" applyProtection="1">
      <alignment horizontal="left" vertical="center" wrapText="1"/>
      <protection hidden="1"/>
    </xf>
    <xf numFmtId="10" fontId="3" fillId="11" borderId="3" xfId="0" applyNumberFormat="1" applyFont="1" applyFill="1" applyBorder="1" applyAlignment="1" applyProtection="1">
      <alignment horizontal="left" vertical="center" wrapText="1"/>
      <protection locked="0"/>
    </xf>
    <xf numFmtId="10" fontId="3" fillId="11" borderId="5" xfId="0" applyNumberFormat="1" applyFont="1" applyFill="1" applyBorder="1" applyAlignment="1" applyProtection="1">
      <alignment horizontal="left" vertical="center" wrapText="1"/>
      <protection locked="0"/>
    </xf>
    <xf numFmtId="10" fontId="3" fillId="11" borderId="6" xfId="0" applyNumberFormat="1" applyFont="1" applyFill="1" applyBorder="1" applyAlignment="1" applyProtection="1">
      <alignment horizontal="left" vertical="center" wrapText="1"/>
      <protection locked="0"/>
    </xf>
    <xf numFmtId="0" fontId="2" fillId="11" borderId="1" xfId="0" applyFont="1" applyFill="1" applyBorder="1" applyAlignment="1" applyProtection="1">
      <alignment horizontal="center" vertical="center" wrapText="1"/>
      <protection locked="0"/>
    </xf>
    <xf numFmtId="0" fontId="108" fillId="13" borderId="5" xfId="0" applyFont="1" applyFill="1" applyBorder="1" applyAlignment="1" applyProtection="1">
      <alignment horizontal="center" vertical="center" wrapText="1"/>
      <protection hidden="1"/>
    </xf>
    <xf numFmtId="0" fontId="108" fillId="13" borderId="6" xfId="0" applyFont="1" applyFill="1" applyBorder="1" applyAlignment="1" applyProtection="1">
      <alignment horizontal="center" vertical="center" wrapText="1"/>
      <protection hidden="1"/>
    </xf>
    <xf numFmtId="165" fontId="107" fillId="13" borderId="3" xfId="1" applyFont="1" applyFill="1" applyBorder="1" applyAlignment="1" applyProtection="1">
      <alignment horizontal="center" vertical="center" wrapText="1"/>
      <protection hidden="1"/>
    </xf>
    <xf numFmtId="165" fontId="107" fillId="13" borderId="6" xfId="1" applyFont="1" applyFill="1" applyBorder="1" applyAlignment="1" applyProtection="1">
      <alignment horizontal="center" vertical="center" wrapText="1"/>
      <protection hidden="1"/>
    </xf>
    <xf numFmtId="165" fontId="107" fillId="13" borderId="1" xfId="1" applyFont="1" applyFill="1" applyBorder="1" applyAlignment="1" applyProtection="1">
      <alignment horizontal="left" vertical="center" wrapText="1"/>
      <protection hidden="1"/>
    </xf>
    <xf numFmtId="0" fontId="8" fillId="12" borderId="3" xfId="0" applyFont="1" applyFill="1" applyBorder="1" applyAlignment="1" applyProtection="1">
      <alignment horizontal="center" vertical="center" wrapText="1"/>
      <protection hidden="1"/>
    </xf>
    <xf numFmtId="0" fontId="8" fillId="12" borderId="6" xfId="0" applyFont="1" applyFill="1" applyBorder="1" applyAlignment="1" applyProtection="1">
      <alignment horizontal="center" vertical="center" wrapText="1"/>
      <protection hidden="1"/>
    </xf>
    <xf numFmtId="165" fontId="3" fillId="14" borderId="3" xfId="1" applyFont="1" applyFill="1" applyBorder="1" applyAlignment="1" applyProtection="1">
      <alignment horizontal="center" vertical="center" wrapText="1"/>
      <protection locked="0"/>
    </xf>
    <xf numFmtId="165" fontId="3" fillId="14" borderId="6" xfId="1" applyFont="1" applyFill="1" applyBorder="1" applyAlignment="1" applyProtection="1">
      <alignment horizontal="center" vertical="center" wrapText="1"/>
      <protection locked="0"/>
    </xf>
    <xf numFmtId="0" fontId="56" fillId="10" borderId="3" xfId="0" applyFont="1" applyFill="1" applyBorder="1" applyAlignment="1" applyProtection="1">
      <alignment horizontal="left" vertical="center" wrapText="1"/>
      <protection hidden="1"/>
    </xf>
    <xf numFmtId="0" fontId="56" fillId="10" borderId="5" xfId="0" applyFont="1" applyFill="1" applyBorder="1" applyAlignment="1" applyProtection="1">
      <alignment horizontal="left" vertical="center" wrapText="1"/>
      <protection hidden="1"/>
    </xf>
    <xf numFmtId="0" fontId="56" fillId="10" borderId="6" xfId="0" applyFont="1" applyFill="1" applyBorder="1" applyAlignment="1" applyProtection="1">
      <alignment horizontal="left" vertical="center" wrapText="1"/>
      <protection hidden="1"/>
    </xf>
    <xf numFmtId="0" fontId="137" fillId="10" borderId="1" xfId="0" applyFont="1" applyFill="1" applyBorder="1" applyAlignment="1" applyProtection="1">
      <alignment horizontal="left" vertical="center" wrapText="1"/>
      <protection hidden="1"/>
    </xf>
    <xf numFmtId="0" fontId="21" fillId="0" borderId="1" xfId="5" applyBorder="1" applyAlignment="1" applyProtection="1">
      <alignment vertical="center" wrapText="1"/>
    </xf>
    <xf numFmtId="0" fontId="21" fillId="14" borderId="1" xfId="5" applyFill="1" applyBorder="1" applyAlignment="1" applyProtection="1">
      <alignment horizontal="left" vertical="center" wrapText="1"/>
      <protection locked="0"/>
    </xf>
    <xf numFmtId="176" fontId="3" fillId="14" borderId="1" xfId="17" applyNumberFormat="1" applyFont="1" applyFill="1" applyBorder="1" applyAlignment="1" applyProtection="1">
      <alignment horizontal="right" vertical="center" wrapText="1"/>
      <protection locked="0"/>
    </xf>
    <xf numFmtId="0" fontId="157" fillId="11" borderId="1" xfId="0" applyFont="1" applyFill="1" applyBorder="1" applyAlignment="1" applyProtection="1">
      <alignment horizontal="left" vertical="center" wrapText="1"/>
      <protection hidden="1"/>
    </xf>
    <xf numFmtId="176" fontId="3" fillId="14" borderId="1" xfId="17" applyNumberFormat="1" applyFont="1" applyFill="1" applyBorder="1" applyAlignment="1" applyProtection="1">
      <alignment horizontal="right" vertical="center" wrapText="1"/>
      <protection hidden="1"/>
    </xf>
    <xf numFmtId="0" fontId="13" fillId="10" borderId="23" xfId="0" applyFont="1" applyFill="1" applyBorder="1" applyAlignment="1" applyProtection="1">
      <alignment horizontal="left" vertical="center" wrapText="1"/>
      <protection hidden="1"/>
    </xf>
    <xf numFmtId="0" fontId="13" fillId="10" borderId="24" xfId="0" applyFont="1" applyFill="1" applyBorder="1" applyAlignment="1" applyProtection="1">
      <alignment horizontal="left" vertical="center" wrapText="1"/>
      <protection hidden="1"/>
    </xf>
    <xf numFmtId="0" fontId="13" fillId="10" borderId="25" xfId="0" applyFont="1" applyFill="1" applyBorder="1" applyAlignment="1" applyProtection="1">
      <alignment horizontal="left" vertical="center" wrapText="1"/>
      <protection hidden="1"/>
    </xf>
    <xf numFmtId="0" fontId="13" fillId="10" borderId="20" xfId="0" applyFont="1" applyFill="1" applyBorder="1" applyAlignment="1" applyProtection="1">
      <alignment horizontal="left" vertical="center" wrapText="1"/>
      <protection hidden="1"/>
    </xf>
    <xf numFmtId="0" fontId="13" fillId="10" borderId="21" xfId="0" applyFont="1" applyFill="1" applyBorder="1" applyAlignment="1" applyProtection="1">
      <alignment horizontal="left" vertical="center" wrapText="1"/>
      <protection hidden="1"/>
    </xf>
    <xf numFmtId="0" fontId="13" fillId="10" borderId="22" xfId="0" applyFont="1" applyFill="1" applyBorder="1" applyAlignment="1" applyProtection="1">
      <alignment horizontal="left" vertical="center" wrapText="1"/>
      <protection hidden="1"/>
    </xf>
    <xf numFmtId="0" fontId="2" fillId="10" borderId="3" xfId="0" applyFont="1" applyFill="1" applyBorder="1" applyAlignment="1" applyProtection="1">
      <alignment horizontal="left" vertical="center" wrapText="1"/>
      <protection hidden="1"/>
    </xf>
    <xf numFmtId="0" fontId="2" fillId="10" borderId="5" xfId="0" applyFont="1" applyFill="1" applyBorder="1" applyAlignment="1" applyProtection="1">
      <alignment horizontal="left" vertical="center" wrapText="1"/>
      <protection hidden="1"/>
    </xf>
    <xf numFmtId="0" fontId="2" fillId="10" borderId="6" xfId="0" applyFont="1" applyFill="1" applyBorder="1" applyAlignment="1" applyProtection="1">
      <alignment horizontal="left" vertical="center" wrapText="1"/>
      <protection hidden="1"/>
    </xf>
    <xf numFmtId="0" fontId="115" fillId="10" borderId="3" xfId="0" quotePrefix="1" applyFont="1" applyFill="1" applyBorder="1" applyAlignment="1" applyProtection="1">
      <alignment horizontal="left" vertical="center" wrapText="1"/>
      <protection hidden="1"/>
    </xf>
    <xf numFmtId="0" fontId="115" fillId="10" borderId="5" xfId="0" applyFont="1" applyFill="1" applyBorder="1" applyAlignment="1" applyProtection="1">
      <alignment horizontal="left" vertical="center" wrapText="1"/>
      <protection hidden="1"/>
    </xf>
    <xf numFmtId="0" fontId="115" fillId="10" borderId="6" xfId="0" applyFont="1" applyFill="1" applyBorder="1" applyAlignment="1" applyProtection="1">
      <alignment horizontal="left" vertical="center" wrapText="1"/>
      <protection hidden="1"/>
    </xf>
    <xf numFmtId="0" fontId="3" fillId="11" borderId="3" xfId="0" applyFont="1" applyFill="1" applyBorder="1" applyAlignment="1" applyProtection="1">
      <alignment horizontal="left" vertical="center" wrapText="1"/>
      <protection locked="0"/>
    </xf>
    <xf numFmtId="0" fontId="3" fillId="11" borderId="5" xfId="0" applyFont="1" applyFill="1" applyBorder="1" applyAlignment="1" applyProtection="1">
      <alignment horizontal="left" vertical="center" wrapText="1"/>
      <protection locked="0"/>
    </xf>
    <xf numFmtId="0" fontId="3" fillId="11" borderId="6" xfId="0" applyFont="1" applyFill="1" applyBorder="1" applyAlignment="1" applyProtection="1">
      <alignment horizontal="left" vertical="center" wrapText="1"/>
      <protection locked="0"/>
    </xf>
    <xf numFmtId="0" fontId="2" fillId="10" borderId="1" xfId="0" applyFont="1" applyFill="1" applyBorder="1" applyAlignment="1" applyProtection="1">
      <alignment horizontal="left" vertical="center" wrapText="1"/>
      <protection hidden="1"/>
    </xf>
    <xf numFmtId="0" fontId="3" fillId="10" borderId="1" xfId="0" quotePrefix="1" applyFont="1" applyFill="1" applyBorder="1" applyAlignment="1" applyProtection="1">
      <alignment horizontal="left" vertical="center" wrapText="1"/>
      <protection hidden="1"/>
    </xf>
    <xf numFmtId="0" fontId="3" fillId="11" borderId="2" xfId="0" applyFont="1" applyFill="1" applyBorder="1" applyAlignment="1" applyProtection="1">
      <alignment horizontal="center" vertical="center" wrapText="1"/>
      <protection locked="0"/>
    </xf>
    <xf numFmtId="0" fontId="3" fillId="11" borderId="14" xfId="0" applyFont="1" applyFill="1" applyBorder="1" applyAlignment="1" applyProtection="1">
      <alignment horizontal="center" vertical="center" wrapText="1"/>
      <protection locked="0"/>
    </xf>
    <xf numFmtId="0" fontId="39" fillId="12" borderId="2" xfId="0" applyFont="1" applyFill="1" applyBorder="1" applyAlignment="1" applyProtection="1">
      <alignment horizontal="center" vertical="center" wrapText="1"/>
      <protection hidden="1"/>
    </xf>
    <xf numFmtId="0" fontId="39" fillId="12" borderId="14" xfId="0" applyFont="1" applyFill="1" applyBorder="1" applyAlignment="1" applyProtection="1">
      <alignment horizontal="center" vertical="center" wrapText="1"/>
      <protection hidden="1"/>
    </xf>
    <xf numFmtId="165" fontId="3" fillId="14" borderId="5" xfId="1" applyFont="1" applyFill="1" applyBorder="1" applyAlignment="1" applyProtection="1">
      <alignment horizontal="center" vertical="center" wrapText="1"/>
      <protection locked="0"/>
    </xf>
    <xf numFmtId="0" fontId="13" fillId="10" borderId="1" xfId="0" applyFont="1" applyFill="1" applyBorder="1" applyAlignment="1" applyProtection="1">
      <alignment horizontal="left" vertical="center" wrapText="1"/>
      <protection hidden="1"/>
    </xf>
    <xf numFmtId="165" fontId="3" fillId="14" borderId="1" xfId="1" applyFont="1" applyFill="1" applyBorder="1" applyAlignment="1" applyProtection="1">
      <alignment horizontal="left" vertical="center" wrapText="1"/>
      <protection locked="0"/>
    </xf>
    <xf numFmtId="165" fontId="3" fillId="12" borderId="3" xfId="1" applyFont="1" applyFill="1" applyBorder="1" applyAlignment="1" applyProtection="1">
      <alignment horizontal="center" vertical="center" wrapText="1"/>
      <protection hidden="1"/>
    </xf>
    <xf numFmtId="165" fontId="3" fillId="12" borderId="5" xfId="1" applyFont="1" applyFill="1" applyBorder="1" applyAlignment="1" applyProtection="1">
      <alignment horizontal="center" vertical="center" wrapText="1"/>
      <protection hidden="1"/>
    </xf>
    <xf numFmtId="165" fontId="3" fillId="12" borderId="6" xfId="1" applyFont="1" applyFill="1" applyBorder="1" applyAlignment="1" applyProtection="1">
      <alignment horizontal="center" vertical="center" wrapText="1"/>
      <protection hidden="1"/>
    </xf>
    <xf numFmtId="0" fontId="3" fillId="11" borderId="1" xfId="0" applyFont="1" applyFill="1" applyBorder="1" applyAlignment="1" applyProtection="1">
      <alignment horizontal="left" vertical="center" wrapText="1"/>
      <protection locked="0"/>
    </xf>
    <xf numFmtId="165" fontId="3" fillId="14" borderId="1" xfId="1" applyFont="1" applyFill="1" applyBorder="1" applyAlignment="1" applyProtection="1">
      <alignment horizontal="justify" vertical="center" wrapText="1"/>
      <protection locked="0"/>
    </xf>
    <xf numFmtId="0" fontId="61" fillId="10" borderId="3" xfId="0" applyFont="1" applyFill="1" applyBorder="1" applyAlignment="1" applyProtection="1">
      <alignment horizontal="left" vertical="center" wrapText="1"/>
      <protection hidden="1"/>
    </xf>
    <xf numFmtId="0" fontId="61" fillId="10" borderId="5" xfId="0" applyFont="1" applyFill="1" applyBorder="1" applyAlignment="1" applyProtection="1">
      <alignment horizontal="left" vertical="center" wrapText="1"/>
      <protection hidden="1"/>
    </xf>
    <xf numFmtId="0" fontId="61" fillId="10" borderId="6" xfId="0" applyFont="1" applyFill="1" applyBorder="1" applyAlignment="1" applyProtection="1">
      <alignment horizontal="left" vertical="center" wrapText="1"/>
      <protection hidden="1"/>
    </xf>
    <xf numFmtId="165" fontId="3" fillId="14" borderId="3" xfId="1" applyFont="1" applyFill="1" applyBorder="1" applyAlignment="1" applyProtection="1">
      <alignment horizontal="justify" vertical="center" wrapText="1"/>
      <protection locked="0"/>
    </xf>
    <xf numFmtId="165" fontId="3" fillId="14" borderId="5" xfId="1" applyFont="1" applyFill="1" applyBorder="1" applyAlignment="1" applyProtection="1">
      <alignment horizontal="justify" vertical="center" wrapText="1"/>
      <protection locked="0"/>
    </xf>
    <xf numFmtId="165" fontId="3" fillId="14" borderId="6" xfId="1" applyFont="1" applyFill="1" applyBorder="1" applyAlignment="1" applyProtection="1">
      <alignment horizontal="justify" vertical="center" wrapText="1"/>
      <protection locked="0"/>
    </xf>
    <xf numFmtId="0" fontId="33" fillId="10" borderId="3" xfId="0" applyFont="1" applyFill="1" applyBorder="1" applyAlignment="1" applyProtection="1">
      <alignment horizontal="left" vertical="center" wrapText="1"/>
      <protection hidden="1"/>
    </xf>
    <xf numFmtId="0" fontId="33" fillId="10" borderId="5" xfId="0" applyFont="1" applyFill="1" applyBorder="1" applyAlignment="1" applyProtection="1">
      <alignment horizontal="left" vertical="center" wrapText="1"/>
      <protection hidden="1"/>
    </xf>
    <xf numFmtId="0" fontId="33" fillId="10" borderId="6" xfId="0" applyFont="1" applyFill="1" applyBorder="1" applyAlignment="1" applyProtection="1">
      <alignment horizontal="left" vertical="center" wrapText="1"/>
      <protection hidden="1"/>
    </xf>
    <xf numFmtId="0" fontId="2" fillId="11" borderId="2" xfId="0" applyFont="1" applyFill="1" applyBorder="1" applyAlignment="1" applyProtection="1">
      <alignment horizontal="center" vertical="center" wrapText="1"/>
      <protection locked="0"/>
    </xf>
    <xf numFmtId="0" fontId="2" fillId="11" borderId="14"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8" fillId="11" borderId="1" xfId="0" applyFont="1" applyFill="1" applyBorder="1" applyAlignment="1" applyProtection="1">
      <alignment horizontal="center" vertical="center" wrapText="1"/>
      <protection locked="0"/>
    </xf>
    <xf numFmtId="0" fontId="5" fillId="12" borderId="1" xfId="0" applyFont="1" applyFill="1" applyBorder="1" applyAlignment="1" applyProtection="1">
      <alignment horizontal="center" vertical="center" wrapText="1"/>
      <protection hidden="1"/>
    </xf>
    <xf numFmtId="0" fontId="4" fillId="14" borderId="1" xfId="0" applyFont="1" applyFill="1" applyBorder="1" applyAlignment="1" applyProtection="1">
      <alignment horizontal="left" vertical="center" wrapText="1"/>
      <protection locked="0"/>
    </xf>
    <xf numFmtId="0" fontId="13" fillId="10" borderId="3" xfId="0" applyFont="1" applyFill="1" applyBorder="1" applyAlignment="1" applyProtection="1">
      <alignment horizontal="left" vertical="center" wrapText="1"/>
      <protection hidden="1"/>
    </xf>
    <xf numFmtId="0" fontId="13" fillId="10" borderId="5" xfId="0" applyFont="1" applyFill="1" applyBorder="1" applyAlignment="1" applyProtection="1">
      <alignment horizontal="left" vertical="center" wrapText="1"/>
      <protection hidden="1"/>
    </xf>
    <xf numFmtId="0" fontId="13" fillId="10" borderId="6" xfId="0" applyFont="1" applyFill="1" applyBorder="1" applyAlignment="1" applyProtection="1">
      <alignment horizontal="left" vertical="center" wrapText="1"/>
      <protection hidden="1"/>
    </xf>
    <xf numFmtId="0" fontId="2" fillId="11" borderId="3" xfId="0" applyFont="1" applyFill="1" applyBorder="1" applyAlignment="1" applyProtection="1">
      <alignment horizontal="left" vertical="center" wrapText="1"/>
      <protection locked="0"/>
    </xf>
    <xf numFmtId="0" fontId="2" fillId="11" borderId="5" xfId="0" applyFont="1" applyFill="1" applyBorder="1" applyAlignment="1" applyProtection="1">
      <alignment horizontal="left" vertical="center" wrapText="1"/>
      <protection locked="0"/>
    </xf>
    <xf numFmtId="0" fontId="2" fillId="11" borderId="6" xfId="0" applyFont="1" applyFill="1" applyBorder="1" applyAlignment="1" applyProtection="1">
      <alignment horizontal="left" vertical="center" wrapText="1"/>
      <protection locked="0"/>
    </xf>
    <xf numFmtId="172" fontId="3" fillId="14" borderId="3" xfId="0" applyNumberFormat="1" applyFont="1" applyFill="1" applyBorder="1" applyAlignment="1" applyProtection="1">
      <alignment horizontal="left" vertical="center" wrapText="1"/>
      <protection locked="0"/>
    </xf>
    <xf numFmtId="172" fontId="3" fillId="14" borderId="5" xfId="0" applyNumberFormat="1" applyFont="1" applyFill="1" applyBorder="1" applyAlignment="1" applyProtection="1">
      <alignment horizontal="left" vertical="center" wrapText="1"/>
      <protection locked="0"/>
    </xf>
    <xf numFmtId="172" fontId="107" fillId="13" borderId="3" xfId="0" applyNumberFormat="1" applyFont="1" applyFill="1" applyBorder="1" applyAlignment="1" applyProtection="1">
      <alignment horizontal="left" vertical="center" wrapText="1"/>
      <protection hidden="1"/>
    </xf>
    <xf numFmtId="172" fontId="107" fillId="13" borderId="5" xfId="0" applyNumberFormat="1" applyFont="1" applyFill="1" applyBorder="1" applyAlignment="1" applyProtection="1">
      <alignment horizontal="left" vertical="center" wrapText="1"/>
      <protection hidden="1"/>
    </xf>
    <xf numFmtId="172" fontId="107" fillId="13" borderId="6" xfId="0" applyNumberFormat="1" applyFont="1" applyFill="1" applyBorder="1" applyAlignment="1" applyProtection="1">
      <alignment horizontal="left" vertical="center" wrapText="1"/>
      <protection hidden="1"/>
    </xf>
    <xf numFmtId="1" fontId="3" fillId="11" borderId="3" xfId="0" applyNumberFormat="1" applyFont="1" applyFill="1" applyBorder="1" applyAlignment="1" applyProtection="1">
      <alignment horizontal="left" vertical="center" wrapText="1"/>
      <protection locked="0"/>
    </xf>
    <xf numFmtId="1" fontId="3" fillId="11" borderId="5" xfId="0" applyNumberFormat="1" applyFont="1" applyFill="1" applyBorder="1" applyAlignment="1" applyProtection="1">
      <alignment horizontal="left" vertical="center" wrapText="1"/>
      <protection locked="0"/>
    </xf>
    <xf numFmtId="1" fontId="3" fillId="11" borderId="6" xfId="0" applyNumberFormat="1" applyFont="1" applyFill="1" applyBorder="1" applyAlignment="1" applyProtection="1">
      <alignment horizontal="left" vertical="center" wrapText="1"/>
      <protection locked="0"/>
    </xf>
    <xf numFmtId="0" fontId="3" fillId="14" borderId="3" xfId="0" applyFont="1" applyFill="1" applyBorder="1" applyAlignment="1" applyProtection="1">
      <alignment horizontal="left" vertical="center" wrapText="1"/>
      <protection locked="0"/>
    </xf>
    <xf numFmtId="0" fontId="3" fillId="14" borderId="5" xfId="0" applyFont="1" applyFill="1" applyBorder="1" applyAlignment="1" applyProtection="1">
      <alignment horizontal="left" vertical="center" wrapText="1"/>
      <protection locked="0"/>
    </xf>
    <xf numFmtId="0" fontId="3" fillId="14" borderId="6" xfId="0" applyFont="1" applyFill="1" applyBorder="1" applyAlignment="1" applyProtection="1">
      <alignment horizontal="left" vertical="center" wrapText="1"/>
      <protection locked="0"/>
    </xf>
    <xf numFmtId="0" fontId="33" fillId="14" borderId="3" xfId="0" applyFont="1" applyFill="1" applyBorder="1" applyAlignment="1" applyProtection="1">
      <alignment horizontal="left" vertical="center" wrapText="1"/>
      <protection locked="0"/>
    </xf>
    <xf numFmtId="0" fontId="33" fillId="14" borderId="5" xfId="0" applyFont="1" applyFill="1" applyBorder="1" applyAlignment="1" applyProtection="1">
      <alignment horizontal="left" vertical="center" wrapText="1"/>
      <protection locked="0"/>
    </xf>
    <xf numFmtId="0" fontId="33" fillId="14" borderId="6" xfId="0" applyFont="1" applyFill="1" applyBorder="1" applyAlignment="1" applyProtection="1">
      <alignment horizontal="left" vertical="center" wrapText="1"/>
      <protection locked="0"/>
    </xf>
    <xf numFmtId="0" fontId="3" fillId="0" borderId="0" xfId="0" applyFont="1" applyAlignment="1" applyProtection="1">
      <alignment horizontal="center" vertical="center" wrapText="1"/>
      <protection hidden="1"/>
    </xf>
    <xf numFmtId="0" fontId="138" fillId="0" borderId="1" xfId="0" applyFont="1" applyBorder="1" applyAlignment="1" applyProtection="1">
      <alignment horizontal="center" vertical="center" wrapText="1"/>
      <protection hidden="1"/>
    </xf>
    <xf numFmtId="0" fontId="35" fillId="0" borderId="1" xfId="0" applyFont="1" applyBorder="1" applyAlignment="1" applyProtection="1">
      <alignment horizontal="center" vertical="center" wrapText="1"/>
      <protection hidden="1"/>
    </xf>
    <xf numFmtId="1" fontId="4" fillId="14" borderId="3" xfId="0" applyNumberFormat="1" applyFont="1" applyFill="1" applyBorder="1" applyAlignment="1" applyProtection="1">
      <alignment horizontal="left" vertical="center" wrapText="1"/>
      <protection locked="0"/>
    </xf>
    <xf numFmtId="1" fontId="4" fillId="14" borderId="5" xfId="0" applyNumberFormat="1" applyFont="1" applyFill="1" applyBorder="1" applyAlignment="1" applyProtection="1">
      <alignment horizontal="left" vertical="center" wrapText="1"/>
      <protection locked="0"/>
    </xf>
    <xf numFmtId="1" fontId="4" fillId="14" borderId="6" xfId="0" applyNumberFormat="1" applyFont="1" applyFill="1" applyBorder="1" applyAlignment="1" applyProtection="1">
      <alignment horizontal="left" vertical="center" wrapText="1"/>
      <protection locked="0"/>
    </xf>
    <xf numFmtId="0" fontId="3" fillId="14" borderId="1" xfId="0" applyFont="1" applyFill="1" applyBorder="1" applyAlignment="1" applyProtection="1">
      <alignment horizontal="left" vertical="center" wrapText="1"/>
      <protection locked="0"/>
    </xf>
    <xf numFmtId="0" fontId="3" fillId="6" borderId="1" xfId="0" applyFont="1" applyFill="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locked="0"/>
    </xf>
    <xf numFmtId="0" fontId="108" fillId="13" borderId="3" xfId="0" applyFont="1" applyFill="1" applyBorder="1" applyAlignment="1" applyProtection="1">
      <alignment horizontal="justify" vertical="top" wrapText="1"/>
      <protection hidden="1"/>
    </xf>
    <xf numFmtId="0" fontId="108" fillId="13" borderId="5" xfId="0" applyFont="1" applyFill="1" applyBorder="1" applyAlignment="1" applyProtection="1">
      <alignment horizontal="justify" vertical="top" wrapText="1"/>
      <protection hidden="1"/>
    </xf>
    <xf numFmtId="0" fontId="108" fillId="13" borderId="6" xfId="0" applyFont="1" applyFill="1" applyBorder="1" applyAlignment="1" applyProtection="1">
      <alignment horizontal="justify" vertical="top" wrapText="1"/>
      <protection hidden="1"/>
    </xf>
    <xf numFmtId="10" fontId="3" fillId="14" borderId="1" xfId="0" applyNumberFormat="1" applyFont="1" applyFill="1" applyBorder="1" applyAlignment="1" applyProtection="1">
      <alignment horizontal="left" vertical="center" wrapText="1"/>
      <protection locked="0"/>
    </xf>
    <xf numFmtId="165" fontId="43" fillId="14" borderId="1" xfId="1" applyFont="1" applyFill="1" applyBorder="1" applyAlignment="1" applyProtection="1">
      <alignment horizontal="left" vertical="center" wrapText="1"/>
      <protection locked="0"/>
    </xf>
    <xf numFmtId="165" fontId="1" fillId="14" borderId="3" xfId="1" applyFont="1" applyFill="1" applyBorder="1" applyAlignment="1" applyProtection="1">
      <alignment horizontal="left" vertical="center" wrapText="1"/>
      <protection locked="0"/>
    </xf>
    <xf numFmtId="165" fontId="1" fillId="14" borderId="5" xfId="1" applyFont="1" applyFill="1" applyBorder="1" applyAlignment="1" applyProtection="1">
      <alignment horizontal="left" vertical="center" wrapText="1"/>
      <protection locked="0"/>
    </xf>
    <xf numFmtId="165" fontId="1" fillId="14" borderId="6" xfId="1" applyFont="1" applyFill="1" applyBorder="1" applyAlignment="1" applyProtection="1">
      <alignment horizontal="left" vertical="center" wrapText="1"/>
      <protection locked="0"/>
    </xf>
    <xf numFmtId="0" fontId="2" fillId="12" borderId="3" xfId="0" applyFont="1" applyFill="1" applyBorder="1" applyAlignment="1" applyProtection="1">
      <alignment horizontal="left" vertical="center" wrapText="1"/>
      <protection hidden="1"/>
    </xf>
    <xf numFmtId="0" fontId="2" fillId="12" borderId="5" xfId="0" applyFont="1" applyFill="1" applyBorder="1" applyAlignment="1" applyProtection="1">
      <alignment horizontal="left" vertical="center" wrapText="1"/>
      <protection hidden="1"/>
    </xf>
    <xf numFmtId="0" fontId="2" fillId="12" borderId="6" xfId="0" applyFont="1" applyFill="1" applyBorder="1" applyAlignment="1" applyProtection="1">
      <alignment horizontal="left" vertical="center" wrapText="1"/>
      <protection hidden="1"/>
    </xf>
    <xf numFmtId="0" fontId="0" fillId="0" borderId="0" xfId="0" applyProtection="1">
      <protection hidden="1"/>
    </xf>
    <xf numFmtId="165" fontId="3" fillId="11" borderId="1" xfId="1" applyFont="1" applyFill="1" applyBorder="1" applyAlignment="1" applyProtection="1">
      <alignment horizontal="left" vertical="center" wrapText="1"/>
      <protection locked="0"/>
    </xf>
    <xf numFmtId="0" fontId="22" fillId="10" borderId="1" xfId="0" applyFont="1" applyFill="1" applyBorder="1" applyAlignment="1" applyProtection="1">
      <alignment horizontal="right" vertical="center" wrapText="1"/>
      <protection hidden="1"/>
    </xf>
    <xf numFmtId="0" fontId="21" fillId="0" borderId="1" xfId="5" applyBorder="1" applyAlignment="1" applyProtection="1">
      <alignment horizontal="left" vertical="center" wrapText="1" indent="4"/>
      <protection locked="0"/>
    </xf>
    <xf numFmtId="165" fontId="3" fillId="14" borderId="3" xfId="1" applyFont="1" applyFill="1" applyBorder="1" applyAlignment="1" applyProtection="1">
      <alignment horizontal="left" vertical="center" wrapText="1"/>
      <protection locked="0"/>
    </xf>
    <xf numFmtId="165" fontId="3" fillId="14" borderId="5" xfId="1" applyFont="1" applyFill="1" applyBorder="1" applyAlignment="1" applyProtection="1">
      <alignment horizontal="left" vertical="center" wrapText="1"/>
      <protection locked="0"/>
    </xf>
    <xf numFmtId="165" fontId="3" fillId="14" borderId="6" xfId="1" applyFont="1" applyFill="1" applyBorder="1" applyAlignment="1" applyProtection="1">
      <alignment horizontal="left" vertical="center" wrapText="1"/>
      <protection locked="0"/>
    </xf>
    <xf numFmtId="37" fontId="3" fillId="14" borderId="1" xfId="1" applyNumberFormat="1" applyFont="1" applyFill="1" applyBorder="1" applyAlignment="1" applyProtection="1">
      <alignment horizontal="right" vertical="center" wrapText="1"/>
      <protection locked="0"/>
    </xf>
    <xf numFmtId="4" fontId="3" fillId="14" borderId="3" xfId="0" applyNumberFormat="1" applyFont="1" applyFill="1" applyBorder="1" applyAlignment="1" applyProtection="1">
      <alignment horizontal="left" vertical="center" wrapText="1"/>
      <protection locked="0"/>
    </xf>
    <xf numFmtId="4" fontId="3" fillId="14" borderId="5" xfId="0" applyNumberFormat="1" applyFont="1" applyFill="1" applyBorder="1" applyAlignment="1" applyProtection="1">
      <alignment horizontal="left" vertical="center" wrapText="1"/>
      <protection locked="0"/>
    </xf>
    <xf numFmtId="4" fontId="3" fillId="14" borderId="6" xfId="0" applyNumberFormat="1" applyFont="1" applyFill="1" applyBorder="1" applyAlignment="1" applyProtection="1">
      <alignment horizontal="left" vertical="center" wrapText="1"/>
      <protection locked="0"/>
    </xf>
    <xf numFmtId="10" fontId="3" fillId="11" borderId="1" xfId="0" applyNumberFormat="1" applyFont="1" applyFill="1" applyBorder="1" applyAlignment="1" applyProtection="1">
      <alignment horizontal="left" vertical="center" wrapText="1"/>
      <protection locked="0"/>
    </xf>
    <xf numFmtId="0" fontId="114" fillId="13" borderId="1" xfId="0" applyFont="1" applyFill="1" applyBorder="1" applyAlignment="1" applyProtection="1">
      <alignment horizontal="left" vertical="center" wrapText="1"/>
      <protection hidden="1"/>
    </xf>
    <xf numFmtId="0" fontId="117" fillId="10" borderId="3" xfId="0" applyFont="1" applyFill="1" applyBorder="1" applyAlignment="1" applyProtection="1">
      <alignment horizontal="center" vertical="center" wrapText="1"/>
      <protection hidden="1"/>
    </xf>
    <xf numFmtId="0" fontId="117" fillId="10" borderId="5" xfId="0" applyFont="1" applyFill="1" applyBorder="1" applyAlignment="1" applyProtection="1">
      <alignment horizontal="center" vertical="center" wrapText="1"/>
      <protection hidden="1"/>
    </xf>
    <xf numFmtId="0" fontId="117" fillId="10" borderId="6" xfId="0" applyFont="1" applyFill="1" applyBorder="1" applyAlignment="1" applyProtection="1">
      <alignment horizontal="center" vertical="center" wrapText="1"/>
      <protection hidden="1"/>
    </xf>
    <xf numFmtId="0" fontId="114" fillId="11" borderId="1" xfId="0" applyFont="1" applyFill="1" applyBorder="1" applyAlignment="1" applyProtection="1">
      <alignment horizontal="left" vertical="center" wrapText="1"/>
      <protection locked="0"/>
    </xf>
    <xf numFmtId="0" fontId="114" fillId="11" borderId="3" xfId="0" applyFont="1" applyFill="1" applyBorder="1" applyAlignment="1" applyProtection="1">
      <alignment horizontal="left" vertical="center" wrapText="1"/>
      <protection locked="0"/>
    </xf>
    <xf numFmtId="0" fontId="114" fillId="11" borderId="5" xfId="0" applyFont="1" applyFill="1" applyBorder="1" applyAlignment="1" applyProtection="1">
      <alignment horizontal="left" vertical="center" wrapText="1"/>
      <protection locked="0"/>
    </xf>
    <xf numFmtId="0" fontId="114" fillId="11" borderId="6" xfId="0" applyFont="1" applyFill="1" applyBorder="1" applyAlignment="1" applyProtection="1">
      <alignment horizontal="left" vertical="center" wrapText="1"/>
      <protection locked="0"/>
    </xf>
    <xf numFmtId="0" fontId="2" fillId="12" borderId="3" xfId="0" applyFont="1" applyFill="1" applyBorder="1" applyAlignment="1" applyProtection="1">
      <alignment horizontal="left" vertical="top" wrapText="1" readingOrder="1"/>
      <protection hidden="1"/>
    </xf>
    <xf numFmtId="0" fontId="2" fillId="12" borderId="5" xfId="0" applyFont="1" applyFill="1" applyBorder="1" applyAlignment="1" applyProtection="1">
      <alignment horizontal="left" vertical="top" wrapText="1" readingOrder="1"/>
      <protection hidden="1"/>
    </xf>
    <xf numFmtId="0" fontId="2" fillId="12" borderId="6" xfId="0" applyFont="1" applyFill="1" applyBorder="1" applyAlignment="1" applyProtection="1">
      <alignment horizontal="left" vertical="top" wrapText="1" readingOrder="1"/>
      <protection hidden="1"/>
    </xf>
    <xf numFmtId="0" fontId="22" fillId="12" borderId="3" xfId="0" applyFont="1" applyFill="1" applyBorder="1" applyAlignment="1" applyProtection="1">
      <alignment horizontal="left" vertical="center" wrapText="1"/>
      <protection hidden="1"/>
    </xf>
    <xf numFmtId="0" fontId="22" fillId="12" borderId="5" xfId="0" applyFont="1" applyFill="1" applyBorder="1" applyAlignment="1" applyProtection="1">
      <alignment horizontal="left" vertical="center" wrapText="1"/>
      <protection hidden="1"/>
    </xf>
    <xf numFmtId="0" fontId="22" fillId="12" borderId="6" xfId="0" applyFont="1" applyFill="1" applyBorder="1" applyAlignment="1" applyProtection="1">
      <alignment horizontal="left" vertical="center" wrapText="1"/>
      <protection hidden="1"/>
    </xf>
    <xf numFmtId="0" fontId="33" fillId="12" borderId="3" xfId="0" applyFont="1" applyFill="1" applyBorder="1" applyAlignment="1" applyProtection="1">
      <alignment horizontal="left" vertical="top" wrapText="1" readingOrder="1"/>
      <protection hidden="1"/>
    </xf>
    <xf numFmtId="0" fontId="33" fillId="12" borderId="5" xfId="0" applyFont="1" applyFill="1" applyBorder="1" applyAlignment="1" applyProtection="1">
      <alignment horizontal="left" vertical="top" wrapText="1" readingOrder="1"/>
      <protection hidden="1"/>
    </xf>
    <xf numFmtId="0" fontId="33" fillId="12" borderId="6" xfId="0" applyFont="1" applyFill="1" applyBorder="1" applyAlignment="1" applyProtection="1">
      <alignment horizontal="left" vertical="top" wrapText="1" readingOrder="1"/>
      <protection hidden="1"/>
    </xf>
    <xf numFmtId="0" fontId="13" fillId="11" borderId="3" xfId="0" applyFont="1" applyFill="1" applyBorder="1" applyAlignment="1" applyProtection="1">
      <alignment horizontal="left" vertical="top" wrapText="1" readingOrder="1"/>
      <protection hidden="1"/>
    </xf>
    <xf numFmtId="0" fontId="13" fillId="11" borderId="5" xfId="0" applyFont="1" applyFill="1" applyBorder="1" applyAlignment="1" applyProtection="1">
      <alignment horizontal="left" vertical="top" wrapText="1" readingOrder="1"/>
      <protection hidden="1"/>
    </xf>
    <xf numFmtId="0" fontId="13" fillId="11" borderId="6" xfId="0" applyFont="1" applyFill="1" applyBorder="1" applyAlignment="1" applyProtection="1">
      <alignment horizontal="left" vertical="top" wrapText="1" readingOrder="1"/>
      <protection hidden="1"/>
    </xf>
    <xf numFmtId="0" fontId="4" fillId="11" borderId="1" xfId="0" applyFont="1" applyFill="1" applyBorder="1" applyAlignment="1" applyProtection="1">
      <alignment horizontal="left" vertical="center" wrapText="1"/>
      <protection locked="0"/>
    </xf>
    <xf numFmtId="0" fontId="5" fillId="12" borderId="1" xfId="0" applyFont="1" applyFill="1" applyBorder="1" applyAlignment="1" applyProtection="1">
      <alignment horizontal="left" vertical="center" wrapText="1"/>
      <protection hidden="1"/>
    </xf>
    <xf numFmtId="0" fontId="33" fillId="14" borderId="3" xfId="0" applyNumberFormat="1" applyFont="1" applyFill="1" applyBorder="1" applyAlignment="1" applyProtection="1">
      <alignment horizontal="left" vertical="center" wrapText="1"/>
      <protection locked="0"/>
    </xf>
    <xf numFmtId="0" fontId="33" fillId="14" borderId="5" xfId="0" applyNumberFormat="1" applyFont="1" applyFill="1" applyBorder="1" applyAlignment="1" applyProtection="1">
      <alignment horizontal="left" vertical="center" wrapText="1"/>
      <protection locked="0"/>
    </xf>
    <xf numFmtId="0" fontId="33" fillId="14" borderId="6" xfId="0" applyNumberFormat="1" applyFont="1" applyFill="1" applyBorder="1" applyAlignment="1" applyProtection="1">
      <alignment horizontal="left" vertical="center" wrapText="1"/>
      <protection locked="0"/>
    </xf>
    <xf numFmtId="0" fontId="33" fillId="12" borderId="1" xfId="0" applyFont="1" applyFill="1" applyBorder="1" applyAlignment="1" applyProtection="1">
      <alignment horizontal="center" vertical="center" wrapText="1"/>
      <protection hidden="1"/>
    </xf>
    <xf numFmtId="165" fontId="3" fillId="14" borderId="1" xfId="1" applyFont="1" applyFill="1" applyBorder="1" applyAlignment="1" applyProtection="1">
      <alignment horizontal="center" vertical="center" wrapText="1"/>
      <protection locked="0"/>
    </xf>
    <xf numFmtId="49" fontId="3" fillId="14" borderId="3" xfId="0" applyNumberFormat="1" applyFont="1" applyFill="1" applyBorder="1" applyAlignment="1" applyProtection="1">
      <alignment horizontal="center" vertical="center" wrapText="1"/>
      <protection locked="0"/>
    </xf>
    <xf numFmtId="49" fontId="3" fillId="14" borderId="5" xfId="0" applyNumberFormat="1" applyFont="1" applyFill="1" applyBorder="1" applyAlignment="1" applyProtection="1">
      <alignment horizontal="center" vertical="center" wrapText="1"/>
      <protection locked="0"/>
    </xf>
    <xf numFmtId="49" fontId="3" fillId="14" borderId="6" xfId="0" applyNumberFormat="1" applyFont="1" applyFill="1" applyBorder="1" applyAlignment="1" applyProtection="1">
      <alignment horizontal="center" vertical="center" wrapText="1"/>
      <protection locked="0"/>
    </xf>
    <xf numFmtId="0" fontId="3" fillId="12" borderId="1" xfId="0" applyFont="1" applyFill="1" applyBorder="1" applyAlignment="1" applyProtection="1">
      <alignment horizontal="left" vertical="center" wrapText="1"/>
      <protection hidden="1"/>
    </xf>
    <xf numFmtId="0" fontId="3" fillId="12" borderId="23" xfId="0" applyFont="1" applyFill="1" applyBorder="1" applyAlignment="1" applyProtection="1">
      <alignment horizontal="left" vertical="center" wrapText="1"/>
      <protection hidden="1"/>
    </xf>
    <xf numFmtId="0" fontId="3" fillId="12" borderId="24" xfId="0" applyFont="1" applyFill="1" applyBorder="1" applyAlignment="1" applyProtection="1">
      <alignment horizontal="left" vertical="center" wrapText="1"/>
      <protection hidden="1"/>
    </xf>
    <xf numFmtId="0" fontId="3" fillId="12" borderId="25" xfId="0" applyFont="1" applyFill="1" applyBorder="1" applyAlignment="1" applyProtection="1">
      <alignment horizontal="left" vertical="center" wrapText="1"/>
      <protection hidden="1"/>
    </xf>
    <xf numFmtId="0" fontId="3" fillId="12" borderId="20" xfId="0" applyFont="1" applyFill="1" applyBorder="1" applyAlignment="1" applyProtection="1">
      <alignment horizontal="left" vertical="center" wrapText="1"/>
      <protection hidden="1"/>
    </xf>
    <xf numFmtId="0" fontId="3" fillId="12" borderId="21" xfId="0" applyFont="1" applyFill="1" applyBorder="1" applyAlignment="1" applyProtection="1">
      <alignment horizontal="left" vertical="center" wrapText="1"/>
      <protection hidden="1"/>
    </xf>
    <xf numFmtId="0" fontId="3" fillId="12" borderId="22" xfId="0" applyFont="1" applyFill="1" applyBorder="1" applyAlignment="1" applyProtection="1">
      <alignment horizontal="left" vertical="center" wrapText="1"/>
      <protection hidden="1"/>
    </xf>
    <xf numFmtId="0" fontId="3" fillId="12" borderId="3" xfId="0" applyFont="1" applyFill="1" applyBorder="1" applyAlignment="1" applyProtection="1">
      <alignment horizontal="left" vertical="center" wrapText="1"/>
      <protection hidden="1"/>
    </xf>
    <xf numFmtId="0" fontId="3" fillId="12" borderId="5" xfId="0" applyFont="1" applyFill="1" applyBorder="1" applyAlignment="1" applyProtection="1">
      <alignment horizontal="left" vertical="center" wrapText="1"/>
      <protection hidden="1"/>
    </xf>
    <xf numFmtId="0" fontId="3" fillId="12" borderId="6" xfId="0" applyFont="1" applyFill="1" applyBorder="1" applyAlignment="1" applyProtection="1">
      <alignment horizontal="left" vertical="center" wrapText="1"/>
      <protection hidden="1"/>
    </xf>
    <xf numFmtId="0" fontId="3" fillId="15" borderId="3" xfId="0" applyFont="1" applyFill="1" applyBorder="1" applyAlignment="1" applyProtection="1">
      <alignment horizontal="center" vertical="center" wrapText="1"/>
      <protection locked="0"/>
    </xf>
    <xf numFmtId="0" fontId="3" fillId="15" borderId="5" xfId="0" applyFont="1" applyFill="1" applyBorder="1" applyAlignment="1" applyProtection="1">
      <alignment horizontal="center" vertical="center" wrapText="1"/>
      <protection locked="0"/>
    </xf>
    <xf numFmtId="0" fontId="3" fillId="15" borderId="6"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left" vertical="center" wrapText="1"/>
      <protection hidden="1"/>
    </xf>
    <xf numFmtId="165" fontId="106" fillId="13" borderId="3" xfId="1" applyFont="1" applyFill="1" applyBorder="1" applyAlignment="1" applyProtection="1">
      <alignment horizontal="center" vertical="center" wrapText="1"/>
      <protection hidden="1"/>
    </xf>
    <xf numFmtId="165" fontId="106" fillId="13" borderId="5" xfId="1" applyFont="1" applyFill="1" applyBorder="1" applyAlignment="1" applyProtection="1">
      <alignment horizontal="center" vertical="center" wrapText="1"/>
      <protection hidden="1"/>
    </xf>
    <xf numFmtId="165" fontId="106" fillId="13" borderId="6" xfId="1" applyFont="1" applyFill="1" applyBorder="1" applyAlignment="1" applyProtection="1">
      <alignment horizontal="center" vertical="center" wrapText="1"/>
      <protection hidden="1"/>
    </xf>
    <xf numFmtId="0" fontId="13" fillId="12" borderId="3" xfId="0" applyFont="1" applyFill="1" applyBorder="1" applyAlignment="1" applyProtection="1">
      <alignment horizontal="center" vertical="center" wrapText="1"/>
      <protection hidden="1"/>
    </xf>
    <xf numFmtId="0" fontId="13" fillId="12" borderId="6" xfId="0" applyFont="1" applyFill="1" applyBorder="1" applyAlignment="1" applyProtection="1">
      <alignment horizontal="center" vertical="center" wrapText="1"/>
      <protection hidden="1"/>
    </xf>
    <xf numFmtId="0" fontId="2" fillId="15" borderId="0" xfId="0" applyFont="1" applyFill="1" applyBorder="1" applyAlignment="1" applyProtection="1">
      <alignment horizontal="left" vertical="center" wrapText="1"/>
      <protection hidden="1"/>
    </xf>
    <xf numFmtId="0" fontId="39" fillId="15" borderId="0" xfId="0" applyFont="1" applyFill="1" applyBorder="1" applyAlignment="1" applyProtection="1">
      <alignment horizontal="left" vertical="center" wrapText="1"/>
      <protection hidden="1"/>
    </xf>
    <xf numFmtId="0" fontId="3" fillId="10" borderId="2" xfId="0" applyFont="1" applyFill="1" applyBorder="1" applyAlignment="1" applyProtection="1">
      <alignment horizontal="center" vertical="center" wrapText="1"/>
      <protection hidden="1"/>
    </xf>
    <xf numFmtId="0" fontId="3" fillId="10" borderId="14" xfId="0" applyFont="1" applyFill="1" applyBorder="1" applyAlignment="1" applyProtection="1">
      <alignment horizontal="center" vertical="center" wrapText="1"/>
      <protection hidden="1"/>
    </xf>
    <xf numFmtId="0" fontId="8" fillId="12" borderId="5" xfId="0" applyFont="1" applyFill="1" applyBorder="1" applyAlignment="1" applyProtection="1">
      <alignment horizontal="center" vertical="center" wrapText="1"/>
      <protection hidden="1"/>
    </xf>
    <xf numFmtId="1" fontId="33" fillId="14" borderId="3" xfId="0" applyNumberFormat="1" applyFont="1" applyFill="1" applyBorder="1" applyAlignment="1" applyProtection="1">
      <alignment horizontal="left" vertical="center" wrapText="1"/>
      <protection locked="0"/>
    </xf>
    <xf numFmtId="1" fontId="33" fillId="14" borderId="5" xfId="0" applyNumberFormat="1" applyFont="1" applyFill="1" applyBorder="1" applyAlignment="1" applyProtection="1">
      <alignment horizontal="left" vertical="center" wrapText="1"/>
      <protection locked="0"/>
    </xf>
    <xf numFmtId="1" fontId="33" fillId="14" borderId="6" xfId="0" applyNumberFormat="1" applyFont="1" applyFill="1" applyBorder="1" applyAlignment="1" applyProtection="1">
      <alignment horizontal="left" vertical="center" wrapText="1"/>
      <protection locked="0"/>
    </xf>
    <xf numFmtId="0" fontId="39" fillId="12" borderId="1" xfId="0" applyFont="1" applyFill="1" applyBorder="1" applyAlignment="1" applyProtection="1">
      <alignment horizontal="left" vertical="center" wrapText="1"/>
      <protection hidden="1"/>
    </xf>
    <xf numFmtId="0" fontId="3" fillId="12" borderId="23" xfId="0" applyFont="1" applyFill="1" applyBorder="1" applyAlignment="1" applyProtection="1">
      <alignment horizontal="center" vertical="center" wrapText="1"/>
      <protection hidden="1"/>
    </xf>
    <xf numFmtId="0" fontId="3" fillId="12" borderId="25" xfId="0" applyFont="1" applyFill="1" applyBorder="1" applyAlignment="1" applyProtection="1">
      <alignment horizontal="center" vertical="center" wrapText="1"/>
      <protection hidden="1"/>
    </xf>
    <xf numFmtId="0" fontId="3" fillId="12" borderId="35" xfId="0" applyFont="1" applyFill="1" applyBorder="1" applyAlignment="1" applyProtection="1">
      <alignment horizontal="center" vertical="center" wrapText="1"/>
      <protection hidden="1"/>
    </xf>
    <xf numFmtId="0" fontId="3" fillId="12" borderId="36" xfId="0" applyFont="1" applyFill="1" applyBorder="1" applyAlignment="1" applyProtection="1">
      <alignment horizontal="center" vertical="center" wrapText="1"/>
      <protection hidden="1"/>
    </xf>
    <xf numFmtId="0" fontId="3" fillId="12" borderId="20" xfId="0" applyFont="1" applyFill="1" applyBorder="1" applyAlignment="1" applyProtection="1">
      <alignment horizontal="center" vertical="center" wrapText="1"/>
      <protection hidden="1"/>
    </xf>
    <xf numFmtId="0" fontId="3" fillId="12" borderId="22" xfId="0" applyFont="1" applyFill="1" applyBorder="1" applyAlignment="1" applyProtection="1">
      <alignment horizontal="center" vertical="center" wrapText="1"/>
      <protection hidden="1"/>
    </xf>
    <xf numFmtId="0" fontId="4" fillId="12" borderId="28" xfId="0" applyFont="1" applyFill="1" applyBorder="1" applyAlignment="1" applyProtection="1">
      <alignment horizontal="center" vertical="center" wrapText="1"/>
      <protection hidden="1"/>
    </xf>
    <xf numFmtId="169" fontId="33" fillId="14" borderId="3" xfId="0" applyNumberFormat="1" applyFont="1" applyFill="1" applyBorder="1" applyAlignment="1" applyProtection="1">
      <alignment horizontal="left" vertical="center" wrapText="1"/>
      <protection locked="0"/>
    </xf>
    <xf numFmtId="169" fontId="33" fillId="14" borderId="5" xfId="0" applyNumberFormat="1" applyFont="1" applyFill="1" applyBorder="1" applyAlignment="1" applyProtection="1">
      <alignment horizontal="left" vertical="center" wrapText="1"/>
      <protection locked="0"/>
    </xf>
    <xf numFmtId="169" fontId="33" fillId="14" borderId="6" xfId="0" applyNumberFormat="1" applyFont="1" applyFill="1" applyBorder="1" applyAlignment="1" applyProtection="1">
      <alignment horizontal="left" vertical="center" wrapText="1"/>
      <protection locked="0"/>
    </xf>
    <xf numFmtId="0" fontId="4" fillId="12" borderId="3" xfId="0" applyFont="1" applyFill="1" applyBorder="1" applyAlignment="1" applyProtection="1">
      <alignment horizontal="left" vertical="center" wrapText="1"/>
      <protection hidden="1"/>
    </xf>
    <xf numFmtId="0" fontId="5" fillId="12" borderId="5" xfId="0" applyFont="1" applyFill="1" applyBorder="1" applyAlignment="1" applyProtection="1">
      <alignment horizontal="left" vertical="center" wrapText="1"/>
      <protection hidden="1"/>
    </xf>
    <xf numFmtId="0" fontId="5" fillId="12" borderId="6" xfId="0" applyFont="1" applyFill="1" applyBorder="1" applyAlignment="1" applyProtection="1">
      <alignment horizontal="left" vertical="center" wrapText="1"/>
      <protection hidden="1"/>
    </xf>
    <xf numFmtId="0" fontId="3" fillId="12" borderId="1" xfId="0" applyFont="1" applyFill="1" applyBorder="1" applyAlignment="1" applyProtection="1">
      <alignment horizontal="justify" vertical="center" wrapText="1"/>
      <protection hidden="1"/>
    </xf>
    <xf numFmtId="0" fontId="55" fillId="12" borderId="3" xfId="0" applyFont="1" applyFill="1" applyBorder="1" applyAlignment="1" applyProtection="1">
      <alignment horizontal="center" vertical="center" wrapText="1"/>
      <protection hidden="1"/>
    </xf>
    <xf numFmtId="0" fontId="55" fillId="12" borderId="5" xfId="0" applyFont="1" applyFill="1" applyBorder="1" applyAlignment="1" applyProtection="1">
      <alignment horizontal="center" vertical="center" wrapText="1"/>
      <protection hidden="1"/>
    </xf>
    <xf numFmtId="0" fontId="4" fillId="12" borderId="2" xfId="0" applyFont="1" applyFill="1" applyBorder="1" applyAlignment="1" applyProtection="1">
      <alignment horizontal="left" vertical="center" wrapText="1"/>
      <protection hidden="1"/>
    </xf>
    <xf numFmtId="0" fontId="4" fillId="12" borderId="14" xfId="0" applyFont="1" applyFill="1" applyBorder="1" applyAlignment="1" applyProtection="1">
      <alignment horizontal="left" vertical="center" wrapText="1"/>
      <protection hidden="1"/>
    </xf>
    <xf numFmtId="0" fontId="4" fillId="12" borderId="1" xfId="0" applyFont="1" applyFill="1" applyBorder="1" applyAlignment="1" applyProtection="1">
      <alignment horizontal="left" vertical="center" wrapText="1"/>
      <protection hidden="1"/>
    </xf>
    <xf numFmtId="0" fontId="33" fillId="12" borderId="3" xfId="0" applyFont="1" applyFill="1" applyBorder="1" applyAlignment="1" applyProtection="1">
      <alignment horizontal="justify" vertical="top" wrapText="1"/>
      <protection hidden="1"/>
    </xf>
    <xf numFmtId="0" fontId="33" fillId="12" borderId="5" xfId="0" applyFont="1" applyFill="1" applyBorder="1" applyAlignment="1" applyProtection="1">
      <alignment horizontal="justify" vertical="top" wrapText="1"/>
      <protection hidden="1"/>
    </xf>
    <xf numFmtId="0" fontId="33" fillId="12" borderId="6" xfId="0" applyFont="1" applyFill="1" applyBorder="1" applyAlignment="1" applyProtection="1">
      <alignment horizontal="justify" vertical="top" wrapText="1"/>
      <protection hidden="1"/>
    </xf>
    <xf numFmtId="165" fontId="3" fillId="0" borderId="24" xfId="1" applyFont="1" applyBorder="1" applyAlignment="1" applyProtection="1">
      <alignment horizontal="center" vertical="center" wrapText="1"/>
      <protection hidden="1"/>
    </xf>
    <xf numFmtId="165" fontId="3" fillId="0" borderId="25" xfId="1" applyFont="1" applyBorder="1" applyAlignment="1" applyProtection="1">
      <alignment horizontal="center" vertical="center" wrapText="1"/>
      <protection hidden="1"/>
    </xf>
    <xf numFmtId="165" fontId="3" fillId="0" borderId="21" xfId="1" applyFont="1" applyBorder="1" applyAlignment="1" applyProtection="1">
      <alignment horizontal="center" vertical="center" wrapText="1"/>
      <protection hidden="1"/>
    </xf>
    <xf numFmtId="165" fontId="3" fillId="0" borderId="22" xfId="1"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30" xfId="0" applyFont="1" applyBorder="1" applyAlignment="1" applyProtection="1">
      <alignment horizontal="center" vertical="center" wrapText="1"/>
      <protection hidden="1"/>
    </xf>
    <xf numFmtId="0" fontId="3" fillId="0" borderId="31" xfId="0" applyFont="1" applyBorder="1" applyAlignment="1" applyProtection="1">
      <alignment horizontal="center" vertical="center" wrapText="1"/>
      <protection hidden="1"/>
    </xf>
    <xf numFmtId="0" fontId="3" fillId="0" borderId="32" xfId="0" applyFont="1" applyBorder="1" applyAlignment="1" applyProtection="1">
      <alignment horizontal="center" vertical="center" wrapText="1"/>
      <protection hidden="1"/>
    </xf>
    <xf numFmtId="0" fontId="3" fillId="0" borderId="33" xfId="0" applyFont="1" applyBorder="1" applyAlignment="1" applyProtection="1">
      <alignment horizontal="center" vertical="center" wrapText="1"/>
      <protection hidden="1"/>
    </xf>
    <xf numFmtId="0" fontId="3" fillId="0" borderId="34" xfId="0" applyFont="1" applyBorder="1" applyAlignment="1" applyProtection="1">
      <alignment horizontal="center" vertical="center" wrapText="1"/>
      <protection hidden="1"/>
    </xf>
    <xf numFmtId="0" fontId="13" fillId="12" borderId="1" xfId="0" applyFont="1" applyFill="1" applyBorder="1" applyAlignment="1" applyProtection="1">
      <alignment horizontal="left" vertical="center" wrapText="1"/>
      <protection hidden="1"/>
    </xf>
    <xf numFmtId="165" fontId="107" fillId="13" borderId="23" xfId="1" applyFont="1" applyFill="1" applyBorder="1" applyAlignment="1" applyProtection="1">
      <alignment horizontal="center" vertical="center" wrapText="1"/>
      <protection locked="0"/>
    </xf>
    <xf numFmtId="165" fontId="107" fillId="13" borderId="25" xfId="1" applyFont="1" applyFill="1" applyBorder="1" applyAlignment="1" applyProtection="1">
      <alignment horizontal="center" vertical="center" wrapText="1"/>
      <protection locked="0"/>
    </xf>
    <xf numFmtId="165" fontId="107" fillId="13" borderId="20" xfId="1" applyFont="1" applyFill="1" applyBorder="1" applyAlignment="1" applyProtection="1">
      <alignment horizontal="center" vertical="center" wrapText="1"/>
      <protection locked="0"/>
    </xf>
    <xf numFmtId="165" fontId="107" fillId="13" borderId="22" xfId="1" applyFont="1" applyFill="1" applyBorder="1" applyAlignment="1" applyProtection="1">
      <alignment horizontal="center" vertical="center" wrapText="1"/>
      <protection locked="0"/>
    </xf>
    <xf numFmtId="0" fontId="3" fillId="14" borderId="3" xfId="0" applyFont="1" applyFill="1" applyBorder="1" applyAlignment="1" applyProtection="1">
      <alignment horizontal="center" vertical="center" wrapText="1"/>
      <protection locked="0"/>
    </xf>
    <xf numFmtId="0" fontId="3" fillId="14" borderId="5" xfId="0" applyFont="1" applyFill="1" applyBorder="1" applyAlignment="1" applyProtection="1">
      <alignment horizontal="center" vertical="center" wrapText="1"/>
      <protection locked="0"/>
    </xf>
    <xf numFmtId="0" fontId="3" fillId="14" borderId="6" xfId="0" applyFont="1" applyFill="1" applyBorder="1" applyAlignment="1" applyProtection="1">
      <alignment horizontal="center" vertical="center" wrapText="1"/>
      <protection locked="0"/>
    </xf>
    <xf numFmtId="165" fontId="21" fillId="14" borderId="3" xfId="5" applyNumberFormat="1" applyFill="1" applyBorder="1" applyAlignment="1" applyProtection="1">
      <alignment horizontal="center" vertical="center" wrapText="1"/>
      <protection locked="0"/>
    </xf>
    <xf numFmtId="165" fontId="21" fillId="14" borderId="6" xfId="5" applyNumberFormat="1" applyFill="1" applyBorder="1" applyAlignment="1" applyProtection="1">
      <alignment horizontal="center" vertical="center" wrapText="1"/>
      <protection locked="0"/>
    </xf>
    <xf numFmtId="0" fontId="59" fillId="12" borderId="3" xfId="0" applyFont="1" applyFill="1" applyBorder="1" applyAlignment="1" applyProtection="1">
      <alignment horizontal="left" vertical="center" wrapText="1"/>
      <protection hidden="1"/>
    </xf>
    <xf numFmtId="0" fontId="59" fillId="12" borderId="5" xfId="0" applyFont="1" applyFill="1" applyBorder="1" applyAlignment="1" applyProtection="1">
      <alignment horizontal="left" vertical="center" wrapText="1"/>
      <protection hidden="1"/>
    </xf>
    <xf numFmtId="0" fontId="59" fillId="12" borderId="6" xfId="0" applyFont="1" applyFill="1" applyBorder="1" applyAlignment="1" applyProtection="1">
      <alignment horizontal="left" vertical="center" wrapText="1"/>
      <protection hidden="1"/>
    </xf>
    <xf numFmtId="165" fontId="3" fillId="14" borderId="20" xfId="1" applyFont="1" applyFill="1" applyBorder="1" applyAlignment="1" applyProtection="1">
      <alignment horizontal="justify" vertical="center" wrapText="1"/>
      <protection locked="0"/>
    </xf>
    <xf numFmtId="165" fontId="3" fillId="14" borderId="21" xfId="1" applyFont="1" applyFill="1" applyBorder="1" applyAlignment="1" applyProtection="1">
      <alignment horizontal="justify" vertical="center" wrapText="1"/>
      <protection locked="0"/>
    </xf>
    <xf numFmtId="165" fontId="3" fillId="14" borderId="22" xfId="1" applyFont="1" applyFill="1" applyBorder="1" applyAlignment="1" applyProtection="1">
      <alignment horizontal="justify" vertical="center" wrapText="1"/>
      <protection locked="0"/>
    </xf>
    <xf numFmtId="165" fontId="3" fillId="0" borderId="23" xfId="1" applyFont="1" applyBorder="1" applyAlignment="1" applyProtection="1">
      <alignment horizontal="center" vertical="center" wrapText="1"/>
      <protection hidden="1"/>
    </xf>
    <xf numFmtId="165" fontId="3" fillId="0" borderId="20" xfId="1" applyFont="1" applyBorder="1" applyAlignment="1" applyProtection="1">
      <alignment horizontal="center" vertical="center" wrapText="1"/>
      <protection hidden="1"/>
    </xf>
    <xf numFmtId="0" fontId="60" fillId="12" borderId="5" xfId="0" applyFont="1" applyFill="1" applyBorder="1" applyAlignment="1" applyProtection="1">
      <alignment horizontal="left" vertical="center" wrapText="1"/>
      <protection hidden="1"/>
    </xf>
    <xf numFmtId="0" fontId="60" fillId="12" borderId="6" xfId="0" applyFont="1" applyFill="1" applyBorder="1" applyAlignment="1" applyProtection="1">
      <alignment horizontal="left" vertical="center" wrapText="1"/>
      <protection hidden="1"/>
    </xf>
    <xf numFmtId="0" fontId="33" fillId="12" borderId="3" xfId="0" applyFont="1" applyFill="1" applyBorder="1" applyAlignment="1" applyProtection="1">
      <alignment horizontal="left" vertical="top" wrapText="1"/>
      <protection hidden="1"/>
    </xf>
    <xf numFmtId="0" fontId="33" fillId="12" borderId="5" xfId="0" applyFont="1" applyFill="1" applyBorder="1" applyAlignment="1" applyProtection="1">
      <alignment horizontal="left" vertical="top" wrapText="1"/>
      <protection hidden="1"/>
    </xf>
    <xf numFmtId="0" fontId="33" fillId="12" borderId="6" xfId="0" applyFont="1" applyFill="1" applyBorder="1" applyAlignment="1" applyProtection="1">
      <alignment horizontal="left" vertical="top" wrapText="1"/>
      <protection hidden="1"/>
    </xf>
    <xf numFmtId="0" fontId="4" fillId="12" borderId="1" xfId="0" applyFont="1" applyFill="1" applyBorder="1" applyAlignment="1" applyProtection="1">
      <alignment horizontal="center" vertical="center" wrapText="1"/>
      <protection hidden="1"/>
    </xf>
    <xf numFmtId="165" fontId="4" fillId="14" borderId="3" xfId="1" applyFont="1" applyFill="1" applyBorder="1" applyAlignment="1" applyProtection="1">
      <alignment horizontal="center" vertical="center" wrapText="1"/>
      <protection locked="0"/>
    </xf>
    <xf numFmtId="165" fontId="4" fillId="14" borderId="6" xfId="1" applyFont="1" applyFill="1" applyBorder="1" applyAlignment="1" applyProtection="1">
      <alignment horizontal="center" vertical="center" wrapText="1"/>
      <protection locked="0"/>
    </xf>
    <xf numFmtId="165" fontId="107" fillId="13" borderId="3" xfId="1" applyFont="1" applyFill="1" applyBorder="1" applyAlignment="1" applyProtection="1">
      <alignment horizontal="left" vertical="center" wrapText="1"/>
      <protection hidden="1"/>
    </xf>
    <xf numFmtId="165" fontId="107" fillId="13" borderId="6" xfId="1" applyFont="1" applyFill="1" applyBorder="1" applyAlignment="1" applyProtection="1">
      <alignment horizontal="left" vertical="center" wrapText="1"/>
      <protection hidden="1"/>
    </xf>
    <xf numFmtId="0" fontId="154" fillId="12" borderId="3" xfId="0" applyFont="1" applyFill="1" applyBorder="1" applyAlignment="1" applyProtection="1">
      <alignment horizontal="left" vertical="center" wrapText="1"/>
      <protection hidden="1"/>
    </xf>
    <xf numFmtId="0" fontId="156" fillId="12" borderId="5" xfId="0" applyFont="1" applyFill="1" applyBorder="1" applyAlignment="1" applyProtection="1">
      <alignment horizontal="left" vertical="center" wrapText="1"/>
      <protection hidden="1"/>
    </xf>
    <xf numFmtId="0" fontId="156" fillId="12" borderId="6" xfId="0" applyFont="1" applyFill="1" applyBorder="1" applyAlignment="1" applyProtection="1">
      <alignment horizontal="left" vertical="center" wrapText="1"/>
      <protection hidden="1"/>
    </xf>
    <xf numFmtId="0" fontId="3" fillId="10" borderId="3" xfId="0" applyFont="1" applyFill="1" applyBorder="1" applyAlignment="1" applyProtection="1">
      <alignment horizontal="left" vertical="top" wrapText="1"/>
      <protection hidden="1"/>
    </xf>
    <xf numFmtId="0" fontId="3" fillId="10" borderId="5" xfId="0" applyFont="1" applyFill="1" applyBorder="1" applyAlignment="1" applyProtection="1">
      <alignment horizontal="left" vertical="top" wrapText="1"/>
      <protection hidden="1"/>
    </xf>
    <xf numFmtId="0" fontId="3" fillId="10" borderId="6" xfId="0" applyFont="1" applyFill="1" applyBorder="1" applyAlignment="1" applyProtection="1">
      <alignment horizontal="left" vertical="top" wrapText="1"/>
      <protection hidden="1"/>
    </xf>
    <xf numFmtId="165" fontId="3" fillId="0" borderId="1" xfId="1" applyFont="1" applyBorder="1" applyAlignment="1" applyProtection="1">
      <alignment horizontal="left" vertical="center" wrapText="1"/>
      <protection locked="0"/>
    </xf>
    <xf numFmtId="165" fontId="116" fillId="13" borderId="1" xfId="1" applyFont="1" applyFill="1" applyBorder="1" applyProtection="1">
      <protection hidden="1"/>
    </xf>
    <xf numFmtId="0" fontId="12" fillId="10" borderId="1" xfId="0" applyFont="1" applyFill="1" applyBorder="1" applyAlignment="1" applyProtection="1">
      <alignment horizontal="left" vertical="center" wrapText="1"/>
      <protection hidden="1"/>
    </xf>
    <xf numFmtId="0" fontId="21" fillId="10" borderId="3" xfId="5" applyFill="1" applyBorder="1" applyAlignment="1" applyProtection="1">
      <alignment horizontal="left" vertical="center" wrapText="1"/>
      <protection hidden="1"/>
    </xf>
    <xf numFmtId="0" fontId="21" fillId="10" borderId="5" xfId="5" applyFill="1" applyBorder="1" applyAlignment="1" applyProtection="1">
      <alignment horizontal="left" vertical="center" wrapText="1"/>
      <protection hidden="1"/>
    </xf>
    <xf numFmtId="0" fontId="21" fillId="10" borderId="6" xfId="5" applyFill="1" applyBorder="1" applyAlignment="1" applyProtection="1">
      <alignment horizontal="left" vertical="center" wrapText="1"/>
      <protection hidden="1"/>
    </xf>
    <xf numFmtId="0" fontId="107" fillId="13" borderId="1" xfId="0" applyFont="1" applyFill="1" applyBorder="1" applyAlignment="1" applyProtection="1">
      <alignment horizontal="left" vertical="center" wrapText="1"/>
      <protection hidden="1"/>
    </xf>
    <xf numFmtId="165" fontId="116" fillId="13" borderId="1" xfId="1" applyFont="1" applyFill="1" applyBorder="1" applyAlignment="1" applyProtection="1">
      <alignment horizontal="center"/>
      <protection hidden="1"/>
    </xf>
    <xf numFmtId="0" fontId="4" fillId="10" borderId="1" xfId="0" applyFont="1" applyFill="1" applyBorder="1" applyAlignment="1" applyProtection="1">
      <alignment horizontal="left" vertical="center" wrapText="1"/>
      <protection hidden="1"/>
    </xf>
    <xf numFmtId="165" fontId="4" fillId="15" borderId="3" xfId="1" applyFont="1" applyFill="1" applyBorder="1" applyAlignment="1" applyProtection="1">
      <alignment horizontal="center" vertical="center" wrapText="1"/>
      <protection locked="0"/>
    </xf>
    <xf numFmtId="165" fontId="4" fillId="15" borderId="6" xfId="1" applyFont="1" applyFill="1" applyBorder="1" applyAlignment="1" applyProtection="1">
      <alignment horizontal="center" vertical="center" wrapText="1"/>
      <protection locked="0"/>
    </xf>
    <xf numFmtId="0" fontId="13" fillId="12" borderId="3" xfId="0" applyFont="1" applyFill="1" applyBorder="1" applyAlignment="1" applyProtection="1">
      <alignment horizontal="left" vertical="center" wrapText="1"/>
      <protection hidden="1"/>
    </xf>
    <xf numFmtId="0" fontId="13" fillId="12" borderId="5" xfId="0" applyFont="1" applyFill="1" applyBorder="1" applyAlignment="1" applyProtection="1">
      <alignment horizontal="left" vertical="center" wrapText="1"/>
      <protection hidden="1"/>
    </xf>
    <xf numFmtId="0" fontId="13" fillId="12" borderId="6" xfId="0" applyFont="1" applyFill="1" applyBorder="1" applyAlignment="1" applyProtection="1">
      <alignment horizontal="left" vertical="center" wrapText="1"/>
      <protection hidden="1"/>
    </xf>
    <xf numFmtId="174" fontId="114" fillId="15" borderId="3" xfId="0" applyNumberFormat="1" applyFont="1" applyFill="1" applyBorder="1" applyAlignment="1" applyProtection="1">
      <alignment horizontal="left" vertical="center" wrapText="1"/>
      <protection locked="0"/>
    </xf>
    <xf numFmtId="174" fontId="114" fillId="15" borderId="5" xfId="0" applyNumberFormat="1" applyFont="1" applyFill="1" applyBorder="1" applyAlignment="1" applyProtection="1">
      <alignment horizontal="left" vertical="center" wrapText="1"/>
      <protection locked="0"/>
    </xf>
    <xf numFmtId="174" fontId="114" fillId="15" borderId="6" xfId="0" applyNumberFormat="1" applyFont="1" applyFill="1" applyBorder="1" applyAlignment="1" applyProtection="1">
      <alignment horizontal="left" vertical="center" wrapText="1"/>
      <protection locked="0"/>
    </xf>
    <xf numFmtId="165" fontId="114" fillId="15" borderId="3" xfId="1" applyFont="1" applyFill="1" applyBorder="1" applyAlignment="1" applyProtection="1">
      <alignment horizontal="left" vertical="center" wrapText="1"/>
      <protection locked="0"/>
    </xf>
    <xf numFmtId="165" fontId="114" fillId="15" borderId="5" xfId="1" applyFont="1" applyFill="1" applyBorder="1" applyAlignment="1" applyProtection="1">
      <alignment horizontal="left" vertical="center" wrapText="1"/>
      <protection locked="0"/>
    </xf>
    <xf numFmtId="165" fontId="114" fillId="15" borderId="6" xfId="1" applyFont="1" applyFill="1" applyBorder="1" applyAlignment="1" applyProtection="1">
      <alignment horizontal="left" vertical="center" wrapText="1"/>
      <protection locked="0"/>
    </xf>
    <xf numFmtId="165" fontId="114" fillId="15" borderId="3" xfId="1" applyFont="1" applyFill="1" applyBorder="1" applyAlignment="1" applyProtection="1">
      <alignment horizontal="center" vertical="center" wrapText="1"/>
      <protection locked="0"/>
    </xf>
    <xf numFmtId="165" fontId="114" fillId="15" borderId="5" xfId="1" applyFont="1" applyFill="1" applyBorder="1" applyAlignment="1" applyProtection="1">
      <alignment horizontal="center" vertical="center" wrapText="1"/>
      <protection locked="0"/>
    </xf>
    <xf numFmtId="165" fontId="114" fillId="15" borderId="6" xfId="1" applyFont="1" applyFill="1" applyBorder="1" applyAlignment="1" applyProtection="1">
      <alignment horizontal="center" vertical="center" wrapText="1"/>
      <protection locked="0"/>
    </xf>
    <xf numFmtId="165" fontId="107" fillId="13" borderId="1" xfId="1" applyFont="1" applyFill="1" applyBorder="1" applyAlignment="1" applyProtection="1">
      <alignment horizontal="justify" vertical="center" wrapText="1"/>
      <protection hidden="1"/>
    </xf>
    <xf numFmtId="0" fontId="13" fillId="12" borderId="3" xfId="0" quotePrefix="1" applyFont="1" applyFill="1" applyBorder="1" applyAlignment="1" applyProtection="1">
      <alignment horizontal="left" vertical="center" wrapText="1"/>
      <protection hidden="1"/>
    </xf>
    <xf numFmtId="0" fontId="35" fillId="12" borderId="3" xfId="0" applyFont="1" applyFill="1" applyBorder="1" applyAlignment="1" applyProtection="1">
      <alignment horizontal="left" vertical="center" wrapText="1"/>
      <protection hidden="1"/>
    </xf>
    <xf numFmtId="0" fontId="35" fillId="12" borderId="5" xfId="0" applyFont="1" applyFill="1" applyBorder="1" applyAlignment="1" applyProtection="1">
      <alignment horizontal="left" vertical="center" wrapText="1"/>
      <protection hidden="1"/>
    </xf>
    <xf numFmtId="165" fontId="3" fillId="14" borderId="23" xfId="1" applyFont="1" applyFill="1" applyBorder="1" applyAlignment="1" applyProtection="1">
      <alignment horizontal="center" vertical="center" wrapText="1"/>
      <protection locked="0"/>
    </xf>
    <xf numFmtId="165" fontId="3" fillId="14" borderId="25" xfId="1" applyFont="1" applyFill="1" applyBorder="1" applyAlignment="1" applyProtection="1">
      <alignment horizontal="center" vertical="center" wrapText="1"/>
      <protection locked="0"/>
    </xf>
    <xf numFmtId="165" fontId="3" fillId="14" borderId="20" xfId="1" applyFont="1" applyFill="1" applyBorder="1" applyAlignment="1" applyProtection="1">
      <alignment horizontal="center" vertical="center" wrapText="1"/>
      <protection locked="0"/>
    </xf>
    <xf numFmtId="165" fontId="3" fillId="14" borderId="22" xfId="1" applyFont="1" applyFill="1" applyBorder="1" applyAlignment="1" applyProtection="1">
      <alignment horizontal="center" vertical="center" wrapText="1"/>
      <protection locked="0"/>
    </xf>
    <xf numFmtId="165" fontId="107" fillId="13" borderId="23" xfId="1" applyFont="1" applyFill="1" applyBorder="1" applyAlignment="1" applyProtection="1">
      <alignment horizontal="center" vertical="center" wrapText="1"/>
      <protection hidden="1"/>
    </xf>
    <xf numFmtId="165" fontId="107" fillId="13" borderId="25" xfId="1" applyFont="1" applyFill="1" applyBorder="1" applyAlignment="1" applyProtection="1">
      <alignment horizontal="center" vertical="center" wrapText="1"/>
      <protection hidden="1"/>
    </xf>
    <xf numFmtId="165" fontId="107" fillId="13" borderId="20" xfId="1" applyFont="1" applyFill="1" applyBorder="1" applyAlignment="1" applyProtection="1">
      <alignment horizontal="center" vertical="center" wrapText="1"/>
      <protection hidden="1"/>
    </xf>
    <xf numFmtId="165" fontId="107" fillId="13" borderId="22" xfId="1" applyFont="1" applyFill="1" applyBorder="1" applyAlignment="1" applyProtection="1">
      <alignment horizontal="center" vertical="center" wrapText="1"/>
      <protection hidden="1"/>
    </xf>
    <xf numFmtId="0" fontId="55" fillId="12" borderId="3" xfId="0" applyFont="1" applyFill="1" applyBorder="1" applyAlignment="1" applyProtection="1">
      <alignment horizontal="center" vertical="top" wrapText="1"/>
      <protection hidden="1"/>
    </xf>
    <xf numFmtId="0" fontId="55" fillId="12" borderId="5" xfId="0" applyFont="1" applyFill="1" applyBorder="1" applyAlignment="1" applyProtection="1">
      <alignment horizontal="center" vertical="top" wrapText="1"/>
      <protection hidden="1"/>
    </xf>
    <xf numFmtId="165" fontId="107" fillId="13" borderId="1" xfId="1" applyFont="1" applyFill="1" applyBorder="1" applyAlignment="1" applyProtection="1">
      <alignment horizontal="center" vertical="center" wrapText="1"/>
      <protection hidden="1"/>
    </xf>
    <xf numFmtId="0" fontId="13" fillId="11" borderId="3" xfId="0" applyFont="1" applyFill="1" applyBorder="1" applyAlignment="1" applyProtection="1">
      <alignment horizontal="left" vertical="center" wrapText="1"/>
      <protection hidden="1"/>
    </xf>
    <xf numFmtId="0" fontId="13" fillId="11" borderId="5" xfId="0" applyFont="1" applyFill="1" applyBorder="1" applyAlignment="1" applyProtection="1">
      <alignment horizontal="left" vertical="center" wrapText="1"/>
      <protection hidden="1"/>
    </xf>
    <xf numFmtId="0" fontId="13" fillId="11" borderId="6" xfId="0" applyFont="1" applyFill="1" applyBorder="1" applyAlignment="1" applyProtection="1">
      <alignment horizontal="left" vertical="center" wrapText="1"/>
      <protection hidden="1"/>
    </xf>
    <xf numFmtId="0" fontId="161" fillId="13" borderId="5" xfId="0" applyFont="1" applyFill="1" applyBorder="1" applyAlignment="1" applyProtection="1">
      <alignment horizontal="center" vertical="center" wrapText="1"/>
      <protection hidden="1"/>
    </xf>
    <xf numFmtId="0" fontId="162" fillId="28" borderId="5" xfId="0" applyFont="1" applyFill="1" applyBorder="1" applyAlignment="1" applyProtection="1">
      <alignment horizontal="center" vertical="center" wrapText="1"/>
      <protection hidden="1"/>
    </xf>
    <xf numFmtId="0" fontId="163" fillId="28" borderId="5" xfId="0" applyFont="1" applyFill="1" applyBorder="1" applyAlignment="1" applyProtection="1">
      <alignment horizontal="center" vertical="center" wrapText="1"/>
      <protection hidden="1"/>
    </xf>
    <xf numFmtId="165" fontId="130" fillId="13" borderId="23" xfId="1" applyFont="1" applyFill="1" applyBorder="1" applyAlignment="1" applyProtection="1">
      <alignment horizontal="center" vertical="center" wrapText="1"/>
      <protection hidden="1"/>
    </xf>
    <xf numFmtId="165" fontId="130" fillId="13" borderId="25" xfId="1" applyFont="1" applyFill="1" applyBorder="1" applyAlignment="1" applyProtection="1">
      <alignment horizontal="center" vertical="center" wrapText="1"/>
      <protection hidden="1"/>
    </xf>
    <xf numFmtId="165" fontId="130" fillId="13" borderId="35" xfId="1" applyFont="1" applyFill="1" applyBorder="1" applyAlignment="1" applyProtection="1">
      <alignment horizontal="center" vertical="center" wrapText="1"/>
      <protection hidden="1"/>
    </xf>
    <xf numFmtId="165" fontId="130" fillId="13" borderId="36" xfId="1" applyFont="1" applyFill="1" applyBorder="1" applyAlignment="1" applyProtection="1">
      <alignment horizontal="center" vertical="center" wrapText="1"/>
      <protection hidden="1"/>
    </xf>
    <xf numFmtId="165" fontId="130" fillId="13" borderId="20" xfId="1" applyFont="1" applyFill="1" applyBorder="1" applyAlignment="1" applyProtection="1">
      <alignment horizontal="center" vertical="center" wrapText="1"/>
      <protection hidden="1"/>
    </xf>
    <xf numFmtId="165" fontId="130" fillId="13" borderId="22" xfId="1" applyFont="1" applyFill="1" applyBorder="1" applyAlignment="1" applyProtection="1">
      <alignment horizontal="center" vertical="center" wrapText="1"/>
      <protection hidden="1"/>
    </xf>
    <xf numFmtId="0" fontId="115" fillId="12" borderId="1" xfId="0" applyFont="1" applyFill="1" applyBorder="1" applyAlignment="1" applyProtection="1">
      <alignment horizontal="justify" vertical="center" wrapText="1"/>
      <protection hidden="1"/>
    </xf>
    <xf numFmtId="165" fontId="69" fillId="0" borderId="9" xfId="1" applyFont="1" applyBorder="1" applyAlignment="1" applyProtection="1">
      <alignment horizontal="justify" vertical="center" wrapText="1"/>
      <protection hidden="1"/>
    </xf>
    <xf numFmtId="165" fontId="69" fillId="0" borderId="9" xfId="1" applyFont="1" applyBorder="1" applyAlignment="1" applyProtection="1">
      <alignment horizontal="justify" wrapText="1"/>
      <protection hidden="1"/>
    </xf>
    <xf numFmtId="0" fontId="74" fillId="0" borderId="9" xfId="0" applyFont="1" applyBorder="1" applyAlignment="1" applyProtection="1">
      <alignment horizontal="left" vertical="center"/>
      <protection hidden="1"/>
    </xf>
    <xf numFmtId="165" fontId="66" fillId="0" borderId="9" xfId="1" applyFont="1" applyBorder="1" applyAlignment="1" applyProtection="1">
      <alignment horizontal="justify" vertical="center"/>
      <protection hidden="1"/>
    </xf>
    <xf numFmtId="165" fontId="74" fillId="0" borderId="9" xfId="1" applyFont="1" applyBorder="1" applyAlignment="1" applyProtection="1">
      <alignment horizontal="left" vertical="center" wrapText="1"/>
      <protection hidden="1"/>
    </xf>
    <xf numFmtId="0" fontId="74" fillId="0" borderId="9" xfId="0" applyFont="1" applyBorder="1" applyAlignment="1" applyProtection="1">
      <alignment horizontal="center"/>
      <protection hidden="1"/>
    </xf>
    <xf numFmtId="165" fontId="69" fillId="0" borderId="9" xfId="1" applyFont="1" applyBorder="1" applyAlignment="1" applyProtection="1">
      <alignment horizontal="justify" vertical="center"/>
      <protection hidden="1"/>
    </xf>
    <xf numFmtId="0" fontId="69" fillId="0" borderId="9" xfId="0" applyFont="1" applyBorder="1" applyAlignment="1" applyProtection="1">
      <alignment horizontal="center"/>
      <protection hidden="1"/>
    </xf>
    <xf numFmtId="165" fontId="74" fillId="0" borderId="9" xfId="1" applyFont="1" applyBorder="1" applyAlignment="1" applyProtection="1">
      <alignment horizontal="justify" vertical="center"/>
      <protection hidden="1"/>
    </xf>
    <xf numFmtId="165" fontId="74" fillId="0" borderId="9" xfId="1" applyFont="1" applyBorder="1" applyAlignment="1" applyProtection="1">
      <alignment horizontal="justify" vertical="center" wrapText="1"/>
      <protection hidden="1"/>
    </xf>
    <xf numFmtId="165" fontId="69" fillId="0" borderId="9" xfId="1" applyFont="1" applyBorder="1" applyAlignment="1" applyProtection="1">
      <alignment horizontal="justify"/>
      <protection hidden="1"/>
    </xf>
    <xf numFmtId="0" fontId="76" fillId="0" borderId="9" xfId="0" applyFont="1" applyBorder="1" applyAlignment="1" applyProtection="1">
      <alignment horizontal="left" vertical="center" wrapText="1"/>
      <protection hidden="1"/>
    </xf>
    <xf numFmtId="165" fontId="69" fillId="0" borderId="9" xfId="3" applyFont="1" applyBorder="1" applyAlignment="1" applyProtection="1">
      <alignment horizontal="center"/>
      <protection hidden="1"/>
    </xf>
    <xf numFmtId="0" fontId="69" fillId="0" borderId="9" xfId="0" applyFont="1" applyBorder="1" applyAlignment="1" applyProtection="1">
      <alignment horizontal="left"/>
      <protection hidden="1"/>
    </xf>
    <xf numFmtId="165" fontId="74" fillId="0" borderId="9" xfId="0" applyNumberFormat="1" applyFont="1" applyBorder="1" applyAlignment="1" applyProtection="1">
      <alignment horizontal="center"/>
      <protection hidden="1"/>
    </xf>
    <xf numFmtId="0" fontId="69" fillId="0" borderId="9" xfId="0" applyFont="1" applyBorder="1" applyAlignment="1" applyProtection="1">
      <alignment horizontal="left" vertical="center" wrapText="1"/>
      <protection hidden="1"/>
    </xf>
    <xf numFmtId="0" fontId="74" fillId="0" borderId="26" xfId="0" applyFont="1" applyBorder="1" applyAlignment="1" applyProtection="1">
      <alignment horizontal="left"/>
      <protection hidden="1"/>
    </xf>
    <xf numFmtId="0" fontId="74" fillId="0" borderId="40" xfId="0" applyFont="1" applyBorder="1" applyAlignment="1" applyProtection="1">
      <alignment horizontal="left"/>
      <protection hidden="1"/>
    </xf>
    <xf numFmtId="0" fontId="74" fillId="0" borderId="27" xfId="0" applyFont="1" applyBorder="1" applyAlignment="1" applyProtection="1">
      <alignment horizontal="left"/>
      <protection hidden="1"/>
    </xf>
    <xf numFmtId="165" fontId="90" fillId="0" borderId="9" xfId="1" applyFont="1" applyBorder="1" applyAlignment="1" applyProtection="1">
      <alignment horizontal="justify" vertical="center" wrapText="1"/>
      <protection hidden="1"/>
    </xf>
    <xf numFmtId="0" fontId="74" fillId="0" borderId="9" xfId="0" applyFont="1" applyBorder="1" applyAlignment="1" applyProtection="1">
      <alignment horizontal="left"/>
      <protection hidden="1"/>
    </xf>
    <xf numFmtId="0" fontId="87" fillId="0" borderId="9" xfId="0" applyFont="1" applyBorder="1" applyAlignment="1" applyProtection="1">
      <alignment horizontal="justify" vertical="center" wrapText="1"/>
      <protection hidden="1"/>
    </xf>
    <xf numFmtId="0" fontId="90" fillId="0" borderId="9" xfId="0" applyFont="1" applyBorder="1" applyAlignment="1" applyProtection="1">
      <alignment horizontal="right" wrapText="1"/>
      <protection hidden="1"/>
    </xf>
    <xf numFmtId="0" fontId="69" fillId="0" borderId="9" xfId="0" applyFont="1" applyBorder="1" applyAlignment="1" applyProtection="1">
      <alignment horizontal="center" vertical="center"/>
      <protection hidden="1"/>
    </xf>
    <xf numFmtId="0" fontId="90" fillId="0" borderId="9" xfId="0" applyFont="1" applyBorder="1" applyAlignment="1" applyProtection="1">
      <alignment horizontal="left" wrapText="1"/>
      <protection hidden="1"/>
    </xf>
    <xf numFmtId="0" fontId="69" fillId="0" borderId="9" xfId="0" applyFont="1" applyBorder="1" applyAlignment="1" applyProtection="1">
      <alignment horizontal="left" wrapText="1"/>
      <protection hidden="1"/>
    </xf>
    <xf numFmtId="0" fontId="69" fillId="0" borderId="0" xfId="0" applyFont="1" applyBorder="1" applyAlignment="1" applyProtection="1">
      <alignment horizontal="center"/>
      <protection hidden="1"/>
    </xf>
    <xf numFmtId="0" fontId="69" fillId="0" borderId="0" xfId="0" applyFont="1" applyBorder="1" applyAlignment="1" applyProtection="1">
      <alignment horizontal="left"/>
      <protection hidden="1"/>
    </xf>
    <xf numFmtId="168" fontId="69" fillId="0" borderId="0" xfId="0" applyNumberFormat="1" applyFont="1" applyBorder="1" applyAlignment="1" applyProtection="1">
      <alignment horizontal="left"/>
      <protection hidden="1"/>
    </xf>
    <xf numFmtId="165" fontId="74" fillId="0" borderId="9" xfId="1" applyFont="1" applyBorder="1" applyAlignment="1" applyProtection="1">
      <alignment horizontal="justify"/>
      <protection hidden="1"/>
    </xf>
    <xf numFmtId="165" fontId="75" fillId="0" borderId="26" xfId="0" applyNumberFormat="1" applyFont="1" applyBorder="1" applyAlignment="1" applyProtection="1">
      <alignment horizontal="justify" vertical="center"/>
      <protection hidden="1"/>
    </xf>
    <xf numFmtId="0" fontId="75" fillId="0" borderId="40" xfId="0" applyFont="1" applyBorder="1" applyAlignment="1" applyProtection="1">
      <alignment horizontal="justify" vertical="center"/>
      <protection hidden="1"/>
    </xf>
    <xf numFmtId="0" fontId="75" fillId="0" borderId="27" xfId="0" applyFont="1" applyBorder="1" applyAlignment="1" applyProtection="1">
      <alignment horizontal="justify" vertical="center"/>
      <protection hidden="1"/>
    </xf>
    <xf numFmtId="165" fontId="90" fillId="0" borderId="9" xfId="1" applyFont="1" applyBorder="1" applyAlignment="1" applyProtection="1">
      <alignment horizontal="justify" vertical="center"/>
      <protection hidden="1"/>
    </xf>
    <xf numFmtId="0" fontId="74" fillId="0" borderId="26" xfId="0" applyFont="1" applyBorder="1" applyAlignment="1" applyProtection="1">
      <alignment horizontal="left" vertical="center"/>
      <protection hidden="1"/>
    </xf>
    <xf numFmtId="0" fontId="74" fillId="0" borderId="40" xfId="0" applyFont="1" applyBorder="1" applyAlignment="1" applyProtection="1">
      <alignment horizontal="left" vertical="center"/>
      <protection hidden="1"/>
    </xf>
    <xf numFmtId="0" fontId="74" fillId="0" borderId="27" xfId="0" applyFont="1" applyBorder="1" applyAlignment="1" applyProtection="1">
      <alignment horizontal="left" vertical="center"/>
      <protection hidden="1"/>
    </xf>
    <xf numFmtId="0" fontId="74" fillId="0" borderId="26" xfId="0" applyFont="1" applyBorder="1" applyAlignment="1" applyProtection="1">
      <alignment horizontal="left" wrapText="1"/>
      <protection hidden="1"/>
    </xf>
    <xf numFmtId="0" fontId="74" fillId="0" borderId="40" xfId="0" applyFont="1" applyBorder="1" applyAlignment="1" applyProtection="1">
      <alignment horizontal="left" wrapText="1"/>
      <protection hidden="1"/>
    </xf>
    <xf numFmtId="0" fontId="74" fillId="0" borderId="27" xfId="0" applyFont="1" applyBorder="1" applyAlignment="1" applyProtection="1">
      <alignment horizontal="left" wrapText="1"/>
      <protection hidden="1"/>
    </xf>
    <xf numFmtId="165" fontId="74" fillId="0" borderId="26" xfId="1" applyNumberFormat="1" applyFont="1" applyBorder="1" applyAlignment="1" applyProtection="1">
      <alignment horizontal="justify" vertical="justify" wrapText="1"/>
      <protection hidden="1"/>
    </xf>
    <xf numFmtId="165" fontId="74" fillId="0" borderId="40" xfId="1" applyNumberFormat="1" applyFont="1" applyBorder="1" applyAlignment="1" applyProtection="1">
      <alignment horizontal="justify" vertical="justify" wrapText="1"/>
      <protection hidden="1"/>
    </xf>
    <xf numFmtId="165" fontId="74" fillId="0" borderId="27" xfId="1" applyNumberFormat="1" applyFont="1" applyBorder="1" applyAlignment="1" applyProtection="1">
      <alignment horizontal="justify" vertical="justify" wrapText="1"/>
      <protection hidden="1"/>
    </xf>
    <xf numFmtId="0" fontId="74" fillId="0" borderId="41" xfId="0" applyFont="1" applyBorder="1" applyAlignment="1" applyProtection="1">
      <alignment horizontal="left"/>
      <protection hidden="1"/>
    </xf>
    <xf numFmtId="0" fontId="74" fillId="0" borderId="42" xfId="0" applyFont="1" applyBorder="1" applyAlignment="1" applyProtection="1">
      <alignment horizontal="left"/>
      <protection hidden="1"/>
    </xf>
    <xf numFmtId="0" fontId="74" fillId="0" borderId="43" xfId="0" applyFont="1" applyBorder="1" applyAlignment="1" applyProtection="1">
      <alignment horizontal="left"/>
      <protection hidden="1"/>
    </xf>
    <xf numFmtId="0" fontId="74" fillId="0" borderId="9" xfId="0" applyFont="1" applyBorder="1" applyAlignment="1" applyProtection="1">
      <alignment horizontal="left" wrapText="1"/>
      <protection hidden="1"/>
    </xf>
    <xf numFmtId="165" fontId="74" fillId="0" borderId="9" xfId="1" applyFont="1" applyBorder="1" applyAlignment="1" applyProtection="1">
      <alignment horizontal="left" wrapText="1"/>
      <protection hidden="1"/>
    </xf>
    <xf numFmtId="0" fontId="76" fillId="0" borderId="0" xfId="0" applyFont="1" applyBorder="1" applyAlignment="1" applyProtection="1">
      <alignment horizontal="center"/>
      <protection hidden="1"/>
    </xf>
    <xf numFmtId="0" fontId="90" fillId="0" borderId="9" xfId="0" applyFont="1" applyBorder="1" applyAlignment="1" applyProtection="1">
      <alignment horizontal="right"/>
      <protection hidden="1"/>
    </xf>
    <xf numFmtId="0" fontId="87" fillId="0" borderId="9" xfId="0" applyFont="1" applyBorder="1" applyAlignment="1" applyProtection="1">
      <alignment horizontal="justify" vertical="center"/>
      <protection hidden="1"/>
    </xf>
    <xf numFmtId="165" fontId="74" fillId="0" borderId="9" xfId="1" applyFont="1" applyBorder="1" applyAlignment="1" applyProtection="1">
      <alignment horizontal="center"/>
      <protection hidden="1"/>
    </xf>
    <xf numFmtId="165" fontId="74" fillId="0" borderId="9" xfId="1" applyFont="1" applyBorder="1" applyAlignment="1" applyProtection="1">
      <alignment horizontal="justify" vertical="justify" wrapText="1"/>
      <protection hidden="1"/>
    </xf>
    <xf numFmtId="0" fontId="90" fillId="0" borderId="9" xfId="0" applyFont="1" applyBorder="1" applyAlignment="1" applyProtection="1">
      <alignment horizontal="center"/>
      <protection hidden="1"/>
    </xf>
    <xf numFmtId="0" fontId="90" fillId="0" borderId="9" xfId="0" applyFont="1" applyBorder="1" applyAlignment="1" applyProtection="1">
      <alignment horizontal="left"/>
      <protection hidden="1"/>
    </xf>
    <xf numFmtId="0" fontId="74" fillId="0" borderId="9" xfId="0" applyFont="1" applyBorder="1" applyAlignment="1" applyProtection="1">
      <alignment horizontal="left" vertical="center" wrapText="1"/>
      <protection hidden="1"/>
    </xf>
    <xf numFmtId="165" fontId="74" fillId="0" borderId="9" xfId="1" applyFont="1" applyBorder="1" applyAlignment="1" applyProtection="1">
      <alignment horizontal="center" vertical="center" wrapText="1"/>
      <protection hidden="1"/>
    </xf>
    <xf numFmtId="0" fontId="88" fillId="0" borderId="0" xfId="0" applyFont="1" applyAlignment="1" applyProtection="1">
      <alignment horizontal="center"/>
      <protection hidden="1"/>
    </xf>
    <xf numFmtId="0" fontId="88" fillId="0" borderId="0" xfId="0" applyFont="1" applyBorder="1" applyAlignment="1" applyProtection="1">
      <alignment horizontal="center"/>
      <protection hidden="1"/>
    </xf>
    <xf numFmtId="0" fontId="74" fillId="0" borderId="0" xfId="0" applyFont="1" applyBorder="1" applyAlignment="1" applyProtection="1">
      <alignment horizontal="center"/>
      <protection hidden="1"/>
    </xf>
    <xf numFmtId="0" fontId="74" fillId="0" borderId="38" xfId="0" applyFont="1" applyBorder="1" applyAlignment="1" applyProtection="1">
      <alignment horizontal="center"/>
      <protection hidden="1"/>
    </xf>
    <xf numFmtId="0" fontId="74" fillId="0" borderId="39" xfId="0" applyFont="1" applyBorder="1" applyAlignment="1" applyProtection="1">
      <alignment horizontal="center"/>
      <protection hidden="1"/>
    </xf>
    <xf numFmtId="0" fontId="74" fillId="0" borderId="37" xfId="0" applyFont="1" applyBorder="1" applyAlignment="1" applyProtection="1">
      <alignment horizontal="center"/>
      <protection hidden="1"/>
    </xf>
    <xf numFmtId="0" fontId="87" fillId="0" borderId="9" xfId="0" applyFont="1" applyBorder="1" applyAlignment="1" applyProtection="1">
      <alignment horizontal="left" vertical="center" wrapText="1"/>
      <protection hidden="1"/>
    </xf>
    <xf numFmtId="165" fontId="69" fillId="0" borderId="9" xfId="1" applyFont="1" applyBorder="1" applyAlignment="1" applyProtection="1">
      <alignment horizontal="center"/>
      <protection hidden="1"/>
    </xf>
    <xf numFmtId="165" fontId="74" fillId="0" borderId="9" xfId="3" applyFont="1" applyBorder="1" applyAlignment="1" applyProtection="1">
      <alignment horizontal="left"/>
      <protection hidden="1"/>
    </xf>
    <xf numFmtId="165" fontId="69" fillId="0" borderId="9" xfId="0" applyNumberFormat="1" applyFont="1" applyBorder="1" applyAlignment="1" applyProtection="1">
      <alignment horizontal="justify" wrapText="1"/>
      <protection hidden="1"/>
    </xf>
    <xf numFmtId="165" fontId="69" fillId="0" borderId="9" xfId="0" applyNumberFormat="1" applyFont="1" applyBorder="1" applyAlignment="1" applyProtection="1">
      <alignment horizontal="justify"/>
      <protection hidden="1"/>
    </xf>
    <xf numFmtId="0" fontId="88" fillId="0" borderId="9" xfId="0" applyFont="1" applyBorder="1" applyAlignment="1" applyProtection="1">
      <alignment horizontal="left"/>
      <protection hidden="1"/>
    </xf>
    <xf numFmtId="0" fontId="90" fillId="0" borderId="9" xfId="0" applyFont="1" applyBorder="1" applyAlignment="1" applyProtection="1">
      <alignment horizontal="justify" vertical="center" wrapText="1"/>
      <protection hidden="1"/>
    </xf>
    <xf numFmtId="165" fontId="69" fillId="0" borderId="9" xfId="0" applyNumberFormat="1" applyFont="1" applyBorder="1" applyAlignment="1" applyProtection="1">
      <alignment horizontal="justify" vertical="center"/>
      <protection hidden="1"/>
    </xf>
    <xf numFmtId="165" fontId="69" fillId="0" borderId="9" xfId="3" applyFont="1" applyBorder="1" applyAlignment="1" applyProtection="1">
      <alignment horizontal="justify" vertical="center"/>
      <protection hidden="1"/>
    </xf>
    <xf numFmtId="165" fontId="69" fillId="0" borderId="9" xfId="0" applyNumberFormat="1" applyFont="1" applyBorder="1" applyAlignment="1" applyProtection="1">
      <alignment horizontal="justify" vertical="center" wrapText="1"/>
      <protection hidden="1"/>
    </xf>
    <xf numFmtId="0" fontId="89" fillId="0" borderId="9" xfId="0" applyFont="1" applyBorder="1" applyAlignment="1" applyProtection="1">
      <alignment horizontal="left"/>
      <protection hidden="1"/>
    </xf>
    <xf numFmtId="165" fontId="69" fillId="0" borderId="9" xfId="0" applyNumberFormat="1" applyFont="1" applyBorder="1" applyAlignment="1" applyProtection="1">
      <alignment horizontal="center"/>
      <protection hidden="1"/>
    </xf>
    <xf numFmtId="0" fontId="87" fillId="0" borderId="9" xfId="0" quotePrefix="1" applyFont="1" applyBorder="1" applyAlignment="1" applyProtection="1">
      <alignment horizontal="justify" vertical="center"/>
      <protection hidden="1"/>
    </xf>
    <xf numFmtId="0" fontId="76" fillId="0" borderId="9" xfId="0" applyFont="1" applyBorder="1" applyAlignment="1" applyProtection="1">
      <alignment horizontal="left"/>
      <protection hidden="1"/>
    </xf>
    <xf numFmtId="0" fontId="74" fillId="0" borderId="16" xfId="0" applyFont="1" applyBorder="1" applyAlignment="1" applyProtection="1">
      <alignment horizontal="center" vertical="center"/>
      <protection hidden="1"/>
    </xf>
    <xf numFmtId="0" fontId="74" fillId="0" borderId="76" xfId="0" applyFont="1" applyBorder="1" applyAlignment="1" applyProtection="1">
      <alignment horizontal="center" vertical="center"/>
      <protection hidden="1"/>
    </xf>
    <xf numFmtId="0" fontId="74" fillId="0" borderId="77" xfId="0" applyFont="1" applyBorder="1" applyAlignment="1" applyProtection="1">
      <alignment horizontal="center" vertical="center"/>
      <protection hidden="1"/>
    </xf>
    <xf numFmtId="165" fontId="74" fillId="0" borderId="26" xfId="1" applyFont="1" applyBorder="1" applyAlignment="1" applyProtection="1">
      <alignment horizontal="justify" vertical="center"/>
      <protection hidden="1"/>
    </xf>
    <xf numFmtId="165" fontId="74" fillId="0" borderId="40" xfId="1" applyFont="1" applyBorder="1" applyAlignment="1" applyProtection="1">
      <alignment horizontal="justify" vertical="center"/>
      <protection hidden="1"/>
    </xf>
    <xf numFmtId="165" fontId="74" fillId="0" borderId="27" xfId="1" applyFont="1" applyBorder="1" applyAlignment="1" applyProtection="1">
      <alignment horizontal="justify" vertical="center"/>
      <protection hidden="1"/>
    </xf>
    <xf numFmtId="165" fontId="69" fillId="0" borderId="26" xfId="1" applyFont="1" applyBorder="1" applyAlignment="1" applyProtection="1">
      <alignment horizontal="center" vertical="center" wrapText="1"/>
      <protection hidden="1"/>
    </xf>
    <xf numFmtId="165" fontId="69" fillId="0" borderId="27" xfId="1" applyFont="1" applyBorder="1" applyAlignment="1" applyProtection="1">
      <alignment horizontal="center" vertical="center" wrapText="1"/>
      <protection hidden="1"/>
    </xf>
    <xf numFmtId="177" fontId="74" fillId="0" borderId="1" xfId="17" applyNumberFormat="1" applyFont="1" applyBorder="1" applyAlignment="1" applyProtection="1">
      <alignment horizontal="center"/>
      <protection hidden="1"/>
    </xf>
    <xf numFmtId="0" fontId="74" fillId="0" borderId="2" xfId="0" applyFont="1" applyBorder="1" applyAlignment="1" applyProtection="1">
      <alignment horizontal="center" vertical="center" wrapText="1"/>
      <protection hidden="1"/>
    </xf>
    <xf numFmtId="0" fontId="74" fillId="0" borderId="14" xfId="0" applyFont="1" applyBorder="1" applyAlignment="1" applyProtection="1">
      <alignment horizontal="center" vertical="center" wrapText="1"/>
      <protection hidden="1"/>
    </xf>
    <xf numFmtId="0" fontId="74" fillId="0" borderId="0" xfId="0" applyFont="1" applyAlignment="1" applyProtection="1">
      <alignment horizontal="center"/>
      <protection hidden="1"/>
    </xf>
    <xf numFmtId="0" fontId="74" fillId="0" borderId="1" xfId="0" applyFont="1" applyBorder="1" applyAlignment="1" applyProtection="1">
      <alignment horizontal="center" vertical="center" wrapText="1"/>
      <protection hidden="1"/>
    </xf>
    <xf numFmtId="0" fontId="74" fillId="0" borderId="1" xfId="0" applyFont="1" applyBorder="1" applyAlignment="1" applyProtection="1">
      <alignment horizontal="center"/>
      <protection hidden="1"/>
    </xf>
    <xf numFmtId="0" fontId="72" fillId="0" borderId="0" xfId="0" applyFont="1" applyAlignment="1" applyProtection="1">
      <alignment horizontal="center" vertical="center" wrapText="1"/>
      <protection hidden="1"/>
    </xf>
    <xf numFmtId="0" fontId="72" fillId="0" borderId="0" xfId="0" quotePrefix="1" applyFont="1" applyAlignment="1" applyProtection="1">
      <alignment horizontal="center" vertical="center" wrapText="1"/>
      <protection hidden="1"/>
    </xf>
    <xf numFmtId="0" fontId="73" fillId="4" borderId="44" xfId="5" applyFont="1" applyFill="1" applyBorder="1" applyAlignment="1" applyProtection="1">
      <alignment horizontal="center" vertical="center" wrapText="1"/>
      <protection hidden="1"/>
    </xf>
    <xf numFmtId="0" fontId="109" fillId="9" borderId="9" xfId="0" applyFont="1" applyFill="1" applyBorder="1" applyAlignment="1" applyProtection="1">
      <alignment horizontal="center" vertical="center" wrapText="1"/>
      <protection hidden="1"/>
    </xf>
    <xf numFmtId="165" fontId="67" fillId="0" borderId="9" xfId="1" applyFont="1" applyBorder="1" applyAlignment="1" applyProtection="1">
      <alignment horizontal="center" vertical="center" wrapText="1"/>
      <protection hidden="1"/>
    </xf>
    <xf numFmtId="1" fontId="66" fillId="0" borderId="9" xfId="0" applyNumberFormat="1" applyFont="1" applyBorder="1" applyAlignment="1" applyProtection="1">
      <alignment horizontal="center" vertical="center" wrapText="1"/>
      <protection locked="0"/>
    </xf>
    <xf numFmtId="170" fontId="67" fillId="0" borderId="9" xfId="0" applyNumberFormat="1" applyFont="1" applyBorder="1" applyAlignment="1" applyProtection="1">
      <alignment horizontal="center" vertical="center" wrapText="1"/>
      <protection locked="0"/>
    </xf>
    <xf numFmtId="49" fontId="67" fillId="0" borderId="9" xfId="0" applyNumberFormat="1" applyFont="1" applyBorder="1" applyAlignment="1" applyProtection="1">
      <alignment horizontal="center" vertical="center" wrapText="1"/>
      <protection locked="0"/>
    </xf>
    <xf numFmtId="1" fontId="67" fillId="0" borderId="9" xfId="0" applyNumberFormat="1" applyFont="1" applyBorder="1" applyAlignment="1" applyProtection="1">
      <alignment horizontal="center" vertical="center" wrapText="1"/>
      <protection locked="0"/>
    </xf>
    <xf numFmtId="0" fontId="68" fillId="9" borderId="9" xfId="0" applyFont="1" applyFill="1" applyBorder="1" applyAlignment="1" applyProtection="1">
      <alignment horizontal="center" vertical="center" wrapText="1"/>
      <protection hidden="1"/>
    </xf>
    <xf numFmtId="171" fontId="67" fillId="0" borderId="45" xfId="0" applyNumberFormat="1" applyFont="1" applyBorder="1" applyAlignment="1" applyProtection="1">
      <alignment horizontal="center" vertical="center" wrapText="1"/>
      <protection hidden="1"/>
    </xf>
    <xf numFmtId="171" fontId="67" fillId="0" borderId="46" xfId="0" applyNumberFormat="1" applyFont="1" applyBorder="1" applyAlignment="1" applyProtection="1">
      <alignment horizontal="center" vertical="center" wrapText="1"/>
      <protection hidden="1"/>
    </xf>
    <xf numFmtId="171" fontId="67" fillId="0" borderId="15" xfId="0" applyNumberFormat="1" applyFont="1" applyBorder="1" applyAlignment="1" applyProtection="1">
      <alignment horizontal="center" vertical="center" wrapText="1"/>
      <protection hidden="1"/>
    </xf>
    <xf numFmtId="171" fontId="67" fillId="0" borderId="47" xfId="0" applyNumberFormat="1" applyFont="1" applyBorder="1" applyAlignment="1" applyProtection="1">
      <alignment horizontal="center" vertical="center" wrapText="1"/>
      <protection hidden="1"/>
    </xf>
    <xf numFmtId="171" fontId="67" fillId="0" borderId="41" xfId="0" applyNumberFormat="1" applyFont="1" applyBorder="1" applyAlignment="1" applyProtection="1">
      <alignment horizontal="center" vertical="center" wrapText="1"/>
      <protection hidden="1"/>
    </xf>
    <xf numFmtId="171" fontId="67" fillId="0" borderId="43" xfId="0" applyNumberFormat="1" applyFont="1" applyBorder="1" applyAlignment="1" applyProtection="1">
      <alignment horizontal="center" vertical="center" wrapText="1"/>
      <protection hidden="1"/>
    </xf>
    <xf numFmtId="0" fontId="66" fillId="18" borderId="0" xfId="0" applyFont="1" applyFill="1" applyAlignment="1" applyProtection="1">
      <alignment horizontal="center" vertical="center" wrapText="1"/>
      <protection hidden="1"/>
    </xf>
    <xf numFmtId="0" fontId="66" fillId="0" borderId="44"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4" fontId="67" fillId="9" borderId="9" xfId="0" applyNumberFormat="1" applyFont="1" applyFill="1" applyBorder="1" applyAlignment="1" applyProtection="1">
      <alignment horizontal="center" vertical="center" wrapText="1"/>
      <protection hidden="1"/>
    </xf>
    <xf numFmtId="49" fontId="67" fillId="9" borderId="9" xfId="0" applyNumberFormat="1" applyFont="1" applyFill="1" applyBorder="1" applyAlignment="1" applyProtection="1">
      <alignment horizontal="center" vertical="center" wrapText="1"/>
      <protection hidden="1"/>
    </xf>
    <xf numFmtId="171" fontId="67" fillId="9" borderId="45" xfId="0" applyNumberFormat="1" applyFont="1" applyFill="1" applyBorder="1" applyAlignment="1" applyProtection="1">
      <alignment horizontal="center" vertical="center" wrapText="1"/>
      <protection hidden="1"/>
    </xf>
    <xf numFmtId="171" fontId="67" fillId="9" borderId="46" xfId="0" applyNumberFormat="1" applyFont="1" applyFill="1" applyBorder="1" applyAlignment="1" applyProtection="1">
      <alignment horizontal="center" vertical="center" wrapText="1"/>
      <protection hidden="1"/>
    </xf>
    <xf numFmtId="171" fontId="67" fillId="9" borderId="15" xfId="0" applyNumberFormat="1" applyFont="1" applyFill="1" applyBorder="1" applyAlignment="1" applyProtection="1">
      <alignment horizontal="center" vertical="center" wrapText="1"/>
      <protection hidden="1"/>
    </xf>
    <xf numFmtId="171" fontId="67" fillId="9" borderId="47" xfId="0" applyNumberFormat="1" applyFont="1" applyFill="1" applyBorder="1" applyAlignment="1" applyProtection="1">
      <alignment horizontal="center" vertical="center" wrapText="1"/>
      <protection hidden="1"/>
    </xf>
    <xf numFmtId="171" fontId="67" fillId="9" borderId="41" xfId="0" applyNumberFormat="1" applyFont="1" applyFill="1" applyBorder="1" applyAlignment="1" applyProtection="1">
      <alignment horizontal="center" vertical="center" wrapText="1"/>
      <protection hidden="1"/>
    </xf>
    <xf numFmtId="171" fontId="67" fillId="9" borderId="43" xfId="0" applyNumberFormat="1" applyFont="1" applyFill="1" applyBorder="1" applyAlignment="1" applyProtection="1">
      <alignment horizontal="center" vertical="center" wrapText="1"/>
      <protection hidden="1"/>
    </xf>
    <xf numFmtId="0" fontId="66" fillId="17" borderId="9" xfId="0" applyFont="1" applyFill="1" applyBorder="1" applyAlignment="1" applyProtection="1">
      <alignment horizontal="center" vertical="center" wrapText="1"/>
      <protection hidden="1"/>
    </xf>
    <xf numFmtId="0" fontId="67" fillId="0" borderId="0" xfId="0" applyFont="1" applyAlignment="1" applyProtection="1">
      <alignment horizontal="center" vertical="center" wrapText="1"/>
      <protection hidden="1"/>
    </xf>
    <xf numFmtId="49" fontId="67" fillId="0" borderId="45" xfId="0" applyNumberFormat="1" applyFont="1" applyBorder="1" applyAlignment="1" applyProtection="1">
      <alignment horizontal="center" vertical="center" wrapText="1"/>
      <protection locked="0"/>
    </xf>
    <xf numFmtId="49" fontId="67" fillId="0" borderId="75" xfId="0" applyNumberFormat="1" applyFont="1" applyBorder="1" applyAlignment="1" applyProtection="1">
      <alignment horizontal="center" vertical="center" wrapText="1"/>
      <protection locked="0"/>
    </xf>
    <xf numFmtId="49" fontId="67" fillId="0" borderId="46" xfId="0" applyNumberFormat="1" applyFont="1" applyBorder="1" applyAlignment="1" applyProtection="1">
      <alignment horizontal="center" vertical="center" wrapText="1"/>
      <protection locked="0"/>
    </xf>
    <xf numFmtId="49" fontId="67" fillId="0" borderId="15" xfId="0" applyNumberFormat="1" applyFont="1" applyBorder="1" applyAlignment="1" applyProtection="1">
      <alignment horizontal="center" vertical="center" wrapText="1"/>
      <protection locked="0"/>
    </xf>
    <xf numFmtId="49" fontId="67" fillId="0" borderId="0" xfId="0" applyNumberFormat="1" applyFont="1" applyBorder="1" applyAlignment="1" applyProtection="1">
      <alignment horizontal="center" vertical="center" wrapText="1"/>
      <protection locked="0"/>
    </xf>
    <xf numFmtId="49" fontId="67" fillId="0" borderId="47" xfId="0" applyNumberFormat="1" applyFont="1" applyBorder="1" applyAlignment="1" applyProtection="1">
      <alignment horizontal="center" vertical="center" wrapText="1"/>
      <protection locked="0"/>
    </xf>
    <xf numFmtId="49" fontId="67" fillId="0" borderId="41" xfId="0" applyNumberFormat="1" applyFont="1" applyBorder="1" applyAlignment="1" applyProtection="1">
      <alignment horizontal="center" vertical="center" wrapText="1"/>
      <protection locked="0"/>
    </xf>
    <xf numFmtId="49" fontId="67" fillId="0" borderId="42" xfId="0" applyNumberFormat="1" applyFont="1" applyBorder="1" applyAlignment="1" applyProtection="1">
      <alignment horizontal="center" vertical="center" wrapText="1"/>
      <protection locked="0"/>
    </xf>
    <xf numFmtId="49" fontId="67" fillId="0" borderId="43" xfId="0" applyNumberFormat="1" applyFont="1" applyBorder="1" applyAlignment="1" applyProtection="1">
      <alignment horizontal="center" vertical="center" wrapText="1"/>
      <protection locked="0"/>
    </xf>
    <xf numFmtId="4" fontId="67" fillId="0" borderId="9" xfId="0" applyNumberFormat="1" applyFont="1" applyBorder="1" applyAlignment="1" applyProtection="1">
      <alignment horizontal="center" vertical="center" wrapText="1"/>
      <protection hidden="1"/>
    </xf>
    <xf numFmtId="0" fontId="66" fillId="19" borderId="0" xfId="0" applyFont="1" applyFill="1" applyAlignment="1" applyProtection="1">
      <alignment horizontal="center" vertical="center" wrapText="1"/>
      <protection hidden="1"/>
    </xf>
    <xf numFmtId="0" fontId="120" fillId="20" borderId="0" xfId="0" applyFont="1" applyFill="1" applyAlignment="1" applyProtection="1">
      <alignment horizontal="center" vertical="center" wrapText="1"/>
      <protection hidden="1"/>
    </xf>
    <xf numFmtId="0" fontId="118" fillId="13" borderId="24" xfId="0" applyFont="1" applyFill="1" applyBorder="1" applyAlignment="1" applyProtection="1">
      <alignment horizontal="center" vertical="center" wrapText="1"/>
      <protection hidden="1"/>
    </xf>
    <xf numFmtId="0" fontId="119" fillId="13" borderId="24" xfId="0" applyFont="1" applyFill="1" applyBorder="1" applyAlignment="1" applyProtection="1">
      <alignment horizontal="center" vertical="center" wrapText="1"/>
      <protection hidden="1"/>
    </xf>
    <xf numFmtId="165" fontId="66" fillId="9" borderId="9" xfId="1" applyFont="1" applyFill="1" applyBorder="1" applyAlignment="1" applyProtection="1">
      <alignment horizontal="center" vertical="center" wrapText="1"/>
      <protection hidden="1"/>
    </xf>
    <xf numFmtId="165" fontId="67" fillId="0" borderId="9" xfId="1" applyFont="1" applyBorder="1" applyAlignment="1" applyProtection="1">
      <alignment horizontal="center" vertical="center" wrapText="1"/>
      <protection locked="0"/>
    </xf>
    <xf numFmtId="0" fontId="67" fillId="9" borderId="9" xfId="0" applyFont="1" applyFill="1" applyBorder="1" applyAlignment="1" applyProtection="1">
      <alignment horizontal="center" vertical="center" wrapText="1"/>
      <protection hidden="1"/>
    </xf>
    <xf numFmtId="0" fontId="69" fillId="9" borderId="9" xfId="0" applyFont="1" applyFill="1" applyBorder="1" applyAlignment="1" applyProtection="1">
      <alignment horizontal="center" vertical="center" wrapText="1"/>
      <protection hidden="1"/>
    </xf>
    <xf numFmtId="1" fontId="66" fillId="9" borderId="9" xfId="0" applyNumberFormat="1" applyFont="1" applyFill="1" applyBorder="1" applyAlignment="1" applyProtection="1">
      <alignment horizontal="center" vertical="center" wrapText="1"/>
      <protection hidden="1"/>
    </xf>
    <xf numFmtId="170" fontId="66" fillId="9" borderId="9" xfId="0" applyNumberFormat="1" applyFont="1" applyFill="1" applyBorder="1" applyAlignment="1" applyProtection="1">
      <alignment horizontal="center" vertical="center" wrapText="1"/>
      <protection hidden="1"/>
    </xf>
    <xf numFmtId="0" fontId="103" fillId="0" borderId="1" xfId="6" applyFont="1" applyBorder="1" applyAlignment="1" applyProtection="1">
      <alignment horizontal="center" vertical="center" wrapText="1"/>
      <protection hidden="1"/>
    </xf>
    <xf numFmtId="0" fontId="98" fillId="0" borderId="1" xfId="6" applyFont="1" applyBorder="1" applyAlignment="1" applyProtection="1">
      <alignment horizontal="center" vertical="center" wrapText="1"/>
      <protection hidden="1"/>
    </xf>
    <xf numFmtId="0" fontId="98" fillId="0" borderId="8" xfId="6" applyFont="1" applyBorder="1" applyAlignment="1" applyProtection="1">
      <alignment horizontal="center" vertical="center" wrapText="1"/>
      <protection hidden="1"/>
    </xf>
    <xf numFmtId="0" fontId="102" fillId="0" borderId="8" xfId="6" applyFont="1" applyBorder="1" applyAlignment="1" applyProtection="1">
      <alignment horizontal="center" vertical="center" wrapText="1"/>
      <protection hidden="1"/>
    </xf>
    <xf numFmtId="0" fontId="126" fillId="0" borderId="53" xfId="6" applyFont="1" applyBorder="1" applyAlignment="1" applyProtection="1">
      <alignment horizontal="center" vertical="center" wrapText="1"/>
      <protection hidden="1"/>
    </xf>
    <xf numFmtId="0" fontId="126" fillId="0" borderId="54" xfId="6" applyFont="1" applyBorder="1" applyAlignment="1" applyProtection="1">
      <alignment horizontal="center" vertical="center" wrapText="1"/>
      <protection hidden="1"/>
    </xf>
    <xf numFmtId="0" fontId="126" fillId="0" borderId="55" xfId="6" applyFont="1" applyBorder="1" applyAlignment="1" applyProtection="1">
      <alignment horizontal="center" vertical="center" wrapText="1"/>
      <protection hidden="1"/>
    </xf>
    <xf numFmtId="0" fontId="98" fillId="0" borderId="56" xfId="6" applyFont="1" applyBorder="1" applyAlignment="1" applyProtection="1">
      <alignment horizontal="center" vertical="center" wrapText="1"/>
      <protection hidden="1"/>
    </xf>
    <xf numFmtId="0" fontId="98" fillId="0" borderId="57" xfId="6" applyFont="1" applyBorder="1" applyAlignment="1" applyProtection="1">
      <alignment horizontal="center" vertical="center" wrapText="1"/>
      <protection hidden="1"/>
    </xf>
    <xf numFmtId="0" fontId="98" fillId="0" borderId="58" xfId="6" applyFont="1" applyBorder="1" applyAlignment="1" applyProtection="1">
      <alignment horizontal="center" vertical="center" wrapText="1"/>
      <protection hidden="1"/>
    </xf>
    <xf numFmtId="0" fontId="97" fillId="0" borderId="23" xfId="6" applyFont="1" applyBorder="1" applyAlignment="1" applyProtection="1">
      <alignment horizontal="center" vertical="center" wrapText="1"/>
      <protection hidden="1"/>
    </xf>
    <xf numFmtId="0" fontId="97" fillId="0" borderId="24" xfId="6" applyFont="1" applyBorder="1" applyAlignment="1" applyProtection="1">
      <alignment horizontal="center" vertical="center" wrapText="1"/>
      <protection hidden="1"/>
    </xf>
    <xf numFmtId="0" fontId="97" fillId="0" borderId="25" xfId="6" applyFont="1" applyBorder="1" applyAlignment="1" applyProtection="1">
      <alignment horizontal="center" vertical="center" wrapText="1"/>
      <protection hidden="1"/>
    </xf>
    <xf numFmtId="0" fontId="98" fillId="0" borderId="24" xfId="6" applyFont="1" applyBorder="1" applyAlignment="1" applyProtection="1">
      <alignment horizontal="center" vertical="center" wrapText="1"/>
      <protection hidden="1"/>
    </xf>
    <xf numFmtId="0" fontId="98" fillId="0" borderId="25" xfId="6" applyFont="1" applyBorder="1" applyAlignment="1" applyProtection="1">
      <alignment horizontal="center" vertical="center" wrapText="1"/>
      <protection hidden="1"/>
    </xf>
    <xf numFmtId="0" fontId="98" fillId="0" borderId="50" xfId="6" applyFont="1" applyBorder="1" applyAlignment="1" applyProtection="1">
      <alignment horizontal="center" vertical="center" wrapText="1"/>
      <protection hidden="1"/>
    </xf>
    <xf numFmtId="0" fontId="98" fillId="0" borderId="51" xfId="6" applyFont="1" applyBorder="1" applyAlignment="1" applyProtection="1">
      <alignment horizontal="center" vertical="center" wrapText="1"/>
      <protection hidden="1"/>
    </xf>
    <xf numFmtId="0" fontId="98" fillId="0" borderId="52" xfId="6" applyFont="1" applyBorder="1" applyAlignment="1" applyProtection="1">
      <alignment horizontal="center" vertical="center" wrapText="1"/>
      <protection hidden="1"/>
    </xf>
    <xf numFmtId="0" fontId="97" fillId="0" borderId="1" xfId="6" applyFont="1" applyBorder="1" applyAlignment="1" applyProtection="1">
      <alignment horizontal="center" vertical="center" wrapText="1"/>
      <protection hidden="1"/>
    </xf>
    <xf numFmtId="0" fontId="97" fillId="0" borderId="8" xfId="6" applyNumberFormat="1" applyFont="1" applyBorder="1" applyAlignment="1" applyProtection="1">
      <alignment horizontal="center" vertical="center" wrapText="1"/>
      <protection hidden="1"/>
    </xf>
    <xf numFmtId="0" fontId="97" fillId="0" borderId="48" xfId="6" applyFont="1" applyBorder="1" applyAlignment="1" applyProtection="1">
      <alignment horizontal="center" vertical="center" wrapText="1"/>
      <protection hidden="1"/>
    </xf>
    <xf numFmtId="0" fontId="97" fillId="0" borderId="49" xfId="6" applyFont="1" applyBorder="1" applyAlignment="1" applyProtection="1">
      <alignment horizontal="center" vertical="center" wrapText="1"/>
      <protection hidden="1"/>
    </xf>
    <xf numFmtId="0" fontId="97" fillId="0" borderId="35" xfId="6" applyFont="1" applyBorder="1" applyAlignment="1" applyProtection="1">
      <alignment horizontal="center" vertical="center" wrapText="1"/>
      <protection hidden="1"/>
    </xf>
    <xf numFmtId="0" fontId="97" fillId="0" borderId="0" xfId="6" applyFont="1" applyBorder="1" applyAlignment="1" applyProtection="1">
      <alignment horizontal="center" vertical="center" wrapText="1"/>
      <protection hidden="1"/>
    </xf>
    <xf numFmtId="0" fontId="97" fillId="0" borderId="36" xfId="6" applyFont="1" applyBorder="1" applyAlignment="1" applyProtection="1">
      <alignment horizontal="center" vertical="center" wrapText="1"/>
      <protection hidden="1"/>
    </xf>
    <xf numFmtId="0" fontId="98" fillId="0" borderId="0" xfId="6" applyFont="1" applyBorder="1" applyAlignment="1" applyProtection="1">
      <alignment horizontal="center" vertical="center" wrapText="1"/>
      <protection hidden="1"/>
    </xf>
    <xf numFmtId="0" fontId="98" fillId="0" borderId="36" xfId="6" applyFont="1" applyBorder="1" applyAlignment="1" applyProtection="1">
      <alignment horizontal="center" vertical="center" wrapText="1"/>
      <protection hidden="1"/>
    </xf>
    <xf numFmtId="0" fontId="99" fillId="0" borderId="3" xfId="6" applyNumberFormat="1" applyFont="1" applyBorder="1" applyAlignment="1" applyProtection="1">
      <alignment horizontal="center" vertical="center" wrapText="1"/>
      <protection hidden="1"/>
    </xf>
    <xf numFmtId="0" fontId="99" fillId="0" borderId="5" xfId="6" applyNumberFormat="1" applyFont="1" applyBorder="1" applyAlignment="1" applyProtection="1">
      <alignment horizontal="center" vertical="center" wrapText="1"/>
      <protection hidden="1"/>
    </xf>
    <xf numFmtId="0" fontId="99" fillId="0" borderId="6" xfId="6" applyNumberFormat="1" applyFont="1" applyBorder="1" applyAlignment="1" applyProtection="1">
      <alignment horizontal="center" vertical="center" wrapText="1"/>
      <protection hidden="1"/>
    </xf>
    <xf numFmtId="0" fontId="102" fillId="0" borderId="20" xfId="6" applyFont="1" applyBorder="1" applyAlignment="1" applyProtection="1">
      <alignment horizontal="center" vertical="center" wrapText="1"/>
      <protection hidden="1"/>
    </xf>
    <xf numFmtId="0" fontId="102" fillId="0" borderId="21" xfId="6" applyFont="1" applyBorder="1" applyAlignment="1" applyProtection="1">
      <alignment horizontal="center" vertical="center" wrapText="1"/>
      <protection hidden="1"/>
    </xf>
    <xf numFmtId="0" fontId="102" fillId="0" borderId="22" xfId="6" applyFont="1" applyBorder="1" applyAlignment="1" applyProtection="1">
      <alignment horizontal="center" vertical="center" wrapText="1"/>
      <protection hidden="1"/>
    </xf>
    <xf numFmtId="165" fontId="102" fillId="0" borderId="1" xfId="6" applyNumberFormat="1" applyFont="1" applyBorder="1" applyAlignment="1" applyProtection="1">
      <alignment horizontal="justify" vertical="center" wrapText="1"/>
      <protection hidden="1"/>
    </xf>
    <xf numFmtId="0" fontId="102" fillId="0" borderId="1" xfId="6" applyFont="1" applyBorder="1" applyAlignment="1" applyProtection="1">
      <alignment horizontal="center" vertical="center" wrapText="1"/>
      <protection hidden="1"/>
    </xf>
    <xf numFmtId="49" fontId="102" fillId="0" borderId="1" xfId="6" applyNumberFormat="1" applyFont="1" applyBorder="1" applyAlignment="1" applyProtection="1">
      <alignment horizontal="center" vertical="center" wrapText="1"/>
      <protection hidden="1"/>
    </xf>
    <xf numFmtId="0" fontId="102" fillId="0" borderId="1" xfId="6" applyNumberFormat="1" applyFont="1" applyBorder="1" applyAlignment="1" applyProtection="1">
      <alignment horizontal="center" vertical="center" wrapText="1"/>
      <protection hidden="1"/>
    </xf>
    <xf numFmtId="165" fontId="102" fillId="0" borderId="1" xfId="6" applyNumberFormat="1" applyFont="1" applyBorder="1" applyAlignment="1" applyProtection="1">
      <alignment horizontal="right" vertical="center" wrapText="1"/>
      <protection hidden="1"/>
    </xf>
    <xf numFmtId="165" fontId="97" fillId="0" borderId="3" xfId="6" applyNumberFormat="1" applyFont="1" applyBorder="1" applyAlignment="1" applyProtection="1">
      <alignment horizontal="justify" vertical="center" wrapText="1"/>
      <protection hidden="1"/>
    </xf>
    <xf numFmtId="165" fontId="97" fillId="0" borderId="6" xfId="6" applyNumberFormat="1" applyFont="1" applyBorder="1" applyAlignment="1" applyProtection="1">
      <alignment horizontal="justify" vertical="center" wrapText="1"/>
      <protection hidden="1"/>
    </xf>
    <xf numFmtId="0" fontId="99" fillId="0" borderId="5" xfId="6" applyFont="1" applyBorder="1" applyAlignment="1" applyProtection="1">
      <alignment horizontal="left" vertical="center" wrapText="1"/>
      <protection hidden="1"/>
    </xf>
    <xf numFmtId="0" fontId="99" fillId="0" borderId="6" xfId="6" applyFont="1" applyBorder="1" applyAlignment="1" applyProtection="1">
      <alignment horizontal="left" vertical="center" wrapText="1"/>
      <protection hidden="1"/>
    </xf>
    <xf numFmtId="0" fontId="98" fillId="0" borderId="1" xfId="6" applyFont="1" applyBorder="1" applyAlignment="1" applyProtection="1">
      <alignment horizontal="left" vertical="center" wrapText="1"/>
      <protection hidden="1"/>
    </xf>
    <xf numFmtId="0" fontId="99" fillId="0" borderId="1" xfId="6" applyFont="1" applyBorder="1" applyAlignment="1" applyProtection="1">
      <alignment horizontal="justify" vertical="center" wrapText="1"/>
      <protection hidden="1"/>
    </xf>
    <xf numFmtId="0" fontId="99" fillId="0" borderId="1" xfId="6" applyFont="1" applyBorder="1" applyAlignment="1" applyProtection="1">
      <alignment horizontal="justify" vertical="top" wrapText="1"/>
      <protection hidden="1"/>
    </xf>
    <xf numFmtId="0" fontId="98" fillId="0" borderId="3" xfId="6" applyFont="1" applyBorder="1" applyAlignment="1" applyProtection="1">
      <alignment horizontal="left" vertical="center" wrapText="1"/>
      <protection hidden="1"/>
    </xf>
    <xf numFmtId="0" fontId="98" fillId="0" borderId="5" xfId="6" applyFont="1" applyBorder="1" applyAlignment="1" applyProtection="1">
      <alignment horizontal="left" vertical="center" wrapText="1"/>
      <protection hidden="1"/>
    </xf>
    <xf numFmtId="0" fontId="98" fillId="0" borderId="6" xfId="6" applyFont="1" applyBorder="1" applyAlignment="1" applyProtection="1">
      <alignment horizontal="left" vertical="center" wrapText="1"/>
      <protection hidden="1"/>
    </xf>
    <xf numFmtId="0" fontId="97" fillId="0" borderId="20" xfId="6" applyFont="1" applyBorder="1" applyAlignment="1" applyProtection="1">
      <alignment horizontal="center" vertical="center" wrapText="1"/>
      <protection hidden="1"/>
    </xf>
    <xf numFmtId="0" fontId="98" fillId="0" borderId="1" xfId="6" applyFont="1" applyBorder="1" applyAlignment="1" applyProtection="1">
      <alignment horizontal="justify" vertical="center" wrapText="1"/>
      <protection hidden="1"/>
    </xf>
    <xf numFmtId="165" fontId="97" fillId="0" borderId="1" xfId="6" applyNumberFormat="1" applyFont="1" applyBorder="1" applyAlignment="1" applyProtection="1">
      <alignment horizontal="right" vertical="center" wrapText="1"/>
      <protection hidden="1"/>
    </xf>
    <xf numFmtId="0" fontId="103" fillId="0" borderId="5" xfId="6" applyFont="1" applyBorder="1" applyAlignment="1" applyProtection="1">
      <alignment horizontal="center" vertical="center" wrapText="1"/>
      <protection hidden="1"/>
    </xf>
    <xf numFmtId="0" fontId="103" fillId="0" borderId="6" xfId="6" applyFont="1" applyBorder="1" applyAlignment="1" applyProtection="1">
      <alignment horizontal="center" vertical="center" wrapText="1"/>
      <protection hidden="1"/>
    </xf>
    <xf numFmtId="165" fontId="97" fillId="0" borderId="1" xfId="6" applyNumberFormat="1" applyFont="1" applyBorder="1" applyAlignment="1" applyProtection="1">
      <alignment horizontal="center" vertical="center" wrapText="1"/>
      <protection hidden="1"/>
    </xf>
    <xf numFmtId="0" fontId="103" fillId="0" borderId="3" xfId="6" applyFont="1" applyBorder="1" applyAlignment="1" applyProtection="1">
      <alignment horizontal="left" vertical="center" wrapText="1"/>
      <protection hidden="1"/>
    </xf>
    <xf numFmtId="0" fontId="103" fillId="0" borderId="5" xfId="6" applyFont="1" applyBorder="1" applyAlignment="1" applyProtection="1">
      <alignment horizontal="left" vertical="center" wrapText="1"/>
      <protection hidden="1"/>
    </xf>
    <xf numFmtId="0" fontId="103" fillId="0" borderId="6" xfId="6" applyFont="1" applyBorder="1" applyAlignment="1" applyProtection="1">
      <alignment horizontal="left" vertical="center" wrapText="1"/>
      <protection hidden="1"/>
    </xf>
    <xf numFmtId="0" fontId="97" fillId="0" borderId="2" xfId="6" applyFont="1" applyBorder="1" applyAlignment="1" applyProtection="1">
      <alignment horizontal="center" vertical="center" wrapText="1"/>
      <protection hidden="1"/>
    </xf>
    <xf numFmtId="0" fontId="97" fillId="0" borderId="28" xfId="6" applyFont="1" applyBorder="1" applyAlignment="1" applyProtection="1">
      <alignment horizontal="center" vertical="center" wrapText="1"/>
      <protection hidden="1"/>
    </xf>
    <xf numFmtId="0" fontId="97" fillId="0" borderId="14" xfId="6" applyFont="1" applyBorder="1" applyAlignment="1" applyProtection="1">
      <alignment horizontal="center" vertical="center" wrapText="1"/>
      <protection hidden="1"/>
    </xf>
    <xf numFmtId="0" fontId="97" fillId="0" borderId="5" xfId="6" applyFont="1" applyBorder="1" applyAlignment="1" applyProtection="1">
      <alignment horizontal="center" vertical="center" wrapText="1"/>
      <protection hidden="1"/>
    </xf>
    <xf numFmtId="0" fontId="97" fillId="0" borderId="6" xfId="6" applyFont="1" applyBorder="1" applyAlignment="1" applyProtection="1">
      <alignment horizontal="center" vertical="center" wrapText="1"/>
      <protection hidden="1"/>
    </xf>
    <xf numFmtId="0" fontId="99" fillId="0" borderId="3" xfId="6" applyFont="1" applyBorder="1" applyAlignment="1" applyProtection="1">
      <alignment horizontal="left" vertical="center" wrapText="1"/>
      <protection hidden="1"/>
    </xf>
    <xf numFmtId="165" fontId="97" fillId="0" borderId="3" xfId="6" applyNumberFormat="1" applyFont="1" applyBorder="1" applyAlignment="1" applyProtection="1">
      <alignment horizontal="center" vertical="center" wrapText="1"/>
      <protection hidden="1"/>
    </xf>
    <xf numFmtId="165" fontId="97" fillId="0" borderId="6" xfId="6" applyNumberFormat="1" applyFont="1" applyBorder="1" applyAlignment="1" applyProtection="1">
      <alignment horizontal="center" vertical="center" wrapText="1"/>
      <protection hidden="1"/>
    </xf>
    <xf numFmtId="165" fontId="97" fillId="0" borderId="1" xfId="1" applyFont="1" applyBorder="1" applyAlignment="1" applyProtection="1">
      <alignment horizontal="center" vertical="center" wrapText="1"/>
      <protection hidden="1"/>
    </xf>
    <xf numFmtId="0" fontId="99" fillId="0" borderId="1" xfId="6" applyFont="1" applyBorder="1" applyAlignment="1" applyProtection="1">
      <alignment horizontal="left" vertical="center" wrapText="1"/>
      <protection hidden="1"/>
    </xf>
    <xf numFmtId="0" fontId="160" fillId="0" borderId="3" xfId="6" applyFont="1" applyBorder="1" applyAlignment="1" applyProtection="1">
      <alignment horizontal="left" vertical="center" wrapText="1"/>
      <protection hidden="1"/>
    </xf>
    <xf numFmtId="0" fontId="160" fillId="0" borderId="5" xfId="6" applyFont="1" applyBorder="1" applyAlignment="1" applyProtection="1">
      <alignment horizontal="left" vertical="center" wrapText="1"/>
      <protection hidden="1"/>
    </xf>
    <xf numFmtId="0" fontId="160" fillId="0" borderId="6" xfId="6" applyFont="1" applyBorder="1" applyAlignment="1" applyProtection="1">
      <alignment horizontal="left" vertical="center" wrapText="1"/>
      <protection hidden="1"/>
    </xf>
    <xf numFmtId="0" fontId="124" fillId="0" borderId="1" xfId="6" applyFont="1" applyBorder="1" applyAlignment="1" applyProtection="1">
      <alignment horizontal="left" vertical="center" wrapText="1"/>
      <protection hidden="1"/>
    </xf>
    <xf numFmtId="0" fontId="105" fillId="0" borderId="1" xfId="6" applyFont="1" applyBorder="1" applyAlignment="1" applyProtection="1">
      <alignment horizontal="left" vertical="center" wrapText="1"/>
      <protection hidden="1"/>
    </xf>
    <xf numFmtId="0" fontId="103" fillId="0" borderId="1" xfId="6" applyFont="1" applyBorder="1" applyAlignment="1" applyProtection="1">
      <alignment horizontal="left" vertical="center" wrapText="1"/>
      <protection hidden="1"/>
    </xf>
    <xf numFmtId="0" fontId="102" fillId="0" borderId="5" xfId="6" applyFont="1" applyBorder="1" applyAlignment="1" applyProtection="1">
      <alignment horizontal="left" vertical="center" wrapText="1"/>
      <protection hidden="1"/>
    </xf>
    <xf numFmtId="0" fontId="102" fillId="0" borderId="6" xfId="6" applyFont="1" applyBorder="1" applyAlignment="1" applyProtection="1">
      <alignment horizontal="left" vertical="center" wrapText="1"/>
      <protection hidden="1"/>
    </xf>
    <xf numFmtId="0" fontId="102" fillId="0" borderId="0" xfId="6" applyFont="1" applyAlignment="1" applyProtection="1">
      <alignment horizontal="justify" vertical="center" wrapText="1"/>
      <protection hidden="1"/>
    </xf>
    <xf numFmtId="0" fontId="121" fillId="0" borderId="5" xfId="6" applyFont="1" applyBorder="1" applyAlignment="1" applyProtection="1">
      <alignment horizontal="left" vertical="center" wrapText="1"/>
      <protection hidden="1"/>
    </xf>
    <xf numFmtId="0" fontId="121" fillId="0" borderId="6" xfId="6" applyFont="1" applyBorder="1" applyAlignment="1" applyProtection="1">
      <alignment horizontal="left" vertical="center" wrapText="1"/>
      <protection hidden="1"/>
    </xf>
    <xf numFmtId="0" fontId="122" fillId="0" borderId="5" xfId="6" applyFont="1" applyBorder="1" applyAlignment="1" applyProtection="1">
      <alignment horizontal="left" vertical="center" wrapText="1"/>
      <protection hidden="1"/>
    </xf>
    <xf numFmtId="0" fontId="122" fillId="0" borderId="6" xfId="6" applyFont="1" applyBorder="1" applyAlignment="1" applyProtection="1">
      <alignment horizontal="left" vertical="center" wrapText="1"/>
      <protection hidden="1"/>
    </xf>
    <xf numFmtId="0" fontId="101" fillId="0" borderId="1" xfId="6" applyFont="1" applyBorder="1" applyAlignment="1" applyProtection="1">
      <alignment horizontal="left" vertical="center" wrapText="1"/>
      <protection hidden="1"/>
    </xf>
    <xf numFmtId="0" fontId="98" fillId="0" borderId="48" xfId="6" applyFont="1" applyBorder="1" applyAlignment="1" applyProtection="1">
      <alignment horizontal="center" vertical="center" wrapText="1"/>
      <protection hidden="1"/>
    </xf>
    <xf numFmtId="0" fontId="98" fillId="0" borderId="7" xfId="6" applyFont="1" applyBorder="1" applyAlignment="1" applyProtection="1">
      <alignment horizontal="center" vertical="center" wrapText="1"/>
      <protection hidden="1"/>
    </xf>
    <xf numFmtId="0" fontId="98" fillId="0" borderId="49" xfId="6" applyFont="1" applyBorder="1" applyAlignment="1" applyProtection="1">
      <alignment horizontal="center" vertical="center" wrapText="1"/>
      <protection hidden="1"/>
    </xf>
    <xf numFmtId="0" fontId="125" fillId="0" borderId="5" xfId="6" applyFont="1" applyBorder="1" applyAlignment="1" applyProtection="1">
      <alignment horizontal="left" vertical="center" wrapText="1"/>
      <protection hidden="1"/>
    </xf>
    <xf numFmtId="0" fontId="125" fillId="0" borderId="6" xfId="6" applyFont="1" applyBorder="1" applyAlignment="1" applyProtection="1">
      <alignment horizontal="left" vertical="center" wrapText="1"/>
      <protection hidden="1"/>
    </xf>
    <xf numFmtId="165" fontId="97" fillId="0" borderId="1" xfId="2" applyFont="1" applyBorder="1" applyAlignment="1" applyProtection="1">
      <alignment horizontal="center" vertical="center" wrapText="1"/>
      <protection hidden="1"/>
    </xf>
    <xf numFmtId="1" fontId="97" fillId="0" borderId="1" xfId="6" applyNumberFormat="1" applyFont="1" applyBorder="1" applyAlignment="1" applyProtection="1">
      <alignment horizontal="center" vertical="center" wrapText="1"/>
      <protection hidden="1"/>
    </xf>
    <xf numFmtId="14" fontId="99" fillId="0" borderId="1" xfId="2" applyNumberFormat="1" applyFont="1" applyBorder="1" applyAlignment="1" applyProtection="1">
      <alignment horizontal="center" vertical="center" wrapText="1"/>
      <protection hidden="1"/>
    </xf>
    <xf numFmtId="165" fontId="99" fillId="0" borderId="1" xfId="2" applyFont="1" applyBorder="1" applyAlignment="1" applyProtection="1">
      <alignment horizontal="center" vertical="center" wrapText="1"/>
      <protection hidden="1"/>
    </xf>
    <xf numFmtId="0" fontId="124" fillId="0" borderId="0" xfId="6" applyFont="1" applyAlignment="1" applyProtection="1">
      <alignment horizontal="center" vertical="center" wrapText="1"/>
      <protection hidden="1"/>
    </xf>
    <xf numFmtId="0" fontId="97" fillId="0" borderId="0" xfId="6" applyNumberFormat="1" applyFont="1" applyAlignment="1" applyProtection="1">
      <alignment horizontal="center" vertical="center" wrapText="1"/>
      <protection hidden="1"/>
    </xf>
    <xf numFmtId="0" fontId="97" fillId="0" borderId="0" xfId="6" applyFont="1" applyAlignment="1" applyProtection="1">
      <alignment horizontal="left" vertical="center" wrapText="1"/>
      <protection hidden="1"/>
    </xf>
    <xf numFmtId="165" fontId="99" fillId="0" borderId="0" xfId="2" applyFont="1" applyAlignment="1" applyProtection="1">
      <alignment horizontal="center" vertical="center" wrapText="1"/>
      <protection hidden="1"/>
    </xf>
    <xf numFmtId="0" fontId="99" fillId="0" borderId="0" xfId="6" applyFont="1" applyAlignment="1" applyProtection="1">
      <alignment horizontal="center" vertical="center" wrapText="1"/>
      <protection hidden="1"/>
    </xf>
    <xf numFmtId="0" fontId="101" fillId="0" borderId="1" xfId="6" applyFont="1" applyBorder="1" applyAlignment="1" applyProtection="1">
      <alignment horizontal="center" vertical="center" wrapText="1"/>
      <protection hidden="1"/>
    </xf>
    <xf numFmtId="165" fontId="103" fillId="0" borderId="1" xfId="2" applyFont="1" applyBorder="1" applyAlignment="1" applyProtection="1">
      <alignment horizontal="center" vertical="center" wrapText="1"/>
      <protection hidden="1"/>
    </xf>
    <xf numFmtId="0" fontId="101" fillId="0" borderId="0" xfId="6" applyFont="1" applyAlignment="1" applyProtection="1">
      <alignment horizontal="center" vertical="center" wrapText="1"/>
      <protection hidden="1"/>
    </xf>
    <xf numFmtId="14" fontId="97" fillId="0" borderId="0" xfId="6" applyNumberFormat="1" applyFont="1" applyAlignment="1" applyProtection="1">
      <alignment horizontal="center" vertical="center" wrapText="1"/>
      <protection hidden="1"/>
    </xf>
    <xf numFmtId="0" fontId="123" fillId="0" borderId="0" xfId="6" applyFont="1" applyAlignment="1" applyProtection="1">
      <alignment horizontal="center" vertical="center" wrapText="1"/>
      <protection hidden="1"/>
    </xf>
    <xf numFmtId="165" fontId="98" fillId="0" borderId="1" xfId="2" applyFont="1" applyBorder="1" applyAlignment="1" applyProtection="1">
      <alignment horizontal="center" vertical="center" wrapText="1"/>
      <protection hidden="1"/>
    </xf>
    <xf numFmtId="0" fontId="8" fillId="0" borderId="0" xfId="0" applyFont="1" applyAlignment="1" applyProtection="1">
      <alignment horizontal="left"/>
      <protection hidden="1"/>
    </xf>
    <xf numFmtId="0" fontId="8" fillId="0" borderId="0" xfId="0" applyFont="1" applyAlignment="1" applyProtection="1">
      <alignment horizontal="center"/>
      <protection hidden="1"/>
    </xf>
    <xf numFmtId="0" fontId="2" fillId="0" borderId="0" xfId="0" applyFont="1" applyAlignment="1" applyProtection="1">
      <alignment horizontal="center"/>
      <protection hidden="1"/>
    </xf>
    <xf numFmtId="0" fontId="19" fillId="0" borderId="0" xfId="0" applyFont="1" applyAlignment="1" applyProtection="1">
      <alignment horizontal="center" vertical="center" wrapText="1"/>
      <protection hidden="1"/>
    </xf>
    <xf numFmtId="0" fontId="2" fillId="0" borderId="0" xfId="0" applyFont="1" applyBorder="1" applyAlignment="1" applyProtection="1">
      <alignment horizontal="left" vertical="top" wrapText="1"/>
      <protection hidden="1"/>
    </xf>
    <xf numFmtId="0" fontId="13" fillId="0" borderId="0" xfId="0" applyFont="1" applyBorder="1" applyAlignment="1" applyProtection="1">
      <alignment horizontal="left" vertical="center" wrapText="1"/>
      <protection hidden="1"/>
    </xf>
    <xf numFmtId="165" fontId="2" fillId="0" borderId="0" xfId="3" applyFont="1" applyBorder="1" applyAlignment="1" applyProtection="1">
      <alignment horizontal="center" vertical="center" wrapText="1"/>
      <protection hidden="1"/>
    </xf>
    <xf numFmtId="165" fontId="14" fillId="0" borderId="0" xfId="3" applyFont="1" applyBorder="1" applyAlignment="1" applyProtection="1">
      <alignment horizontal="left" vertical="center" wrapText="1"/>
      <protection hidden="1"/>
    </xf>
    <xf numFmtId="0" fontId="17" fillId="0" borderId="0" xfId="0" applyFont="1" applyBorder="1" applyAlignment="1" applyProtection="1">
      <alignment horizontal="center" vertical="center" wrapText="1"/>
      <protection hidden="1"/>
    </xf>
    <xf numFmtId="165" fontId="15" fillId="0" borderId="1" xfId="3" applyFont="1" applyBorder="1" applyAlignment="1" applyProtection="1">
      <alignment horizontal="center" vertical="center" wrapText="1"/>
      <protection hidden="1"/>
    </xf>
    <xf numFmtId="165" fontId="16" fillId="0" borderId="1" xfId="3" applyFont="1" applyBorder="1" applyAlignment="1" applyProtection="1">
      <alignment horizontal="center" vertical="center" wrapText="1"/>
      <protection hidden="1"/>
    </xf>
    <xf numFmtId="0" fontId="13" fillId="0" borderId="1" xfId="0" applyFont="1" applyBorder="1" applyAlignment="1" applyProtection="1">
      <alignment horizontal="left" vertical="center" wrapText="1"/>
      <protection hidden="1"/>
    </xf>
    <xf numFmtId="0" fontId="15" fillId="0" borderId="0" xfId="0" applyFont="1" applyAlignment="1" applyProtection="1">
      <alignment horizontal="center"/>
      <protection hidden="1"/>
    </xf>
    <xf numFmtId="0" fontId="17" fillId="0" borderId="0" xfId="0" applyFont="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18" fillId="0" borderId="0" xfId="0" applyFont="1" applyAlignment="1" applyProtection="1">
      <alignment horizontal="left" vertical="center" wrapText="1"/>
      <protection hidden="1"/>
    </xf>
    <xf numFmtId="0" fontId="8" fillId="0" borderId="0" xfId="0" applyFont="1" applyAlignment="1" applyProtection="1">
      <alignment horizontal="left" vertical="center" wrapText="1"/>
      <protection hidden="1"/>
    </xf>
    <xf numFmtId="0" fontId="33" fillId="0" borderId="1" xfId="0" applyFont="1" applyBorder="1" applyAlignment="1" applyProtection="1">
      <alignment horizontal="left" vertical="center" wrapText="1"/>
      <protection hidden="1"/>
    </xf>
    <xf numFmtId="0" fontId="14" fillId="0" borderId="0" xfId="0" applyFont="1" applyAlignment="1" applyProtection="1">
      <alignment horizontal="left" vertical="center" wrapText="1"/>
      <protection hidden="1"/>
    </xf>
    <xf numFmtId="0" fontId="18" fillId="0" borderId="0" xfId="0" applyFont="1" applyAlignment="1" applyProtection="1">
      <alignment horizontal="center" vertical="center" wrapText="1"/>
      <protection hidden="1"/>
    </xf>
    <xf numFmtId="0" fontId="32" fillId="0" borderId="1" xfId="0" applyFont="1" applyBorder="1" applyAlignment="1" applyProtection="1">
      <alignment horizontal="center" vertical="center" wrapText="1"/>
      <protection hidden="1"/>
    </xf>
    <xf numFmtId="0" fontId="42" fillId="0" borderId="0" xfId="0" applyFont="1" applyAlignment="1" applyProtection="1">
      <alignment horizontal="left" vertical="center" wrapText="1"/>
      <protection hidden="1"/>
    </xf>
    <xf numFmtId="165" fontId="8" fillId="0" borderId="0" xfId="0" applyNumberFormat="1" applyFont="1" applyAlignment="1" applyProtection="1">
      <alignment horizontal="center" vertical="center" wrapText="1"/>
      <protection hidden="1"/>
    </xf>
    <xf numFmtId="0" fontId="33" fillId="0" borderId="0" xfId="0" applyFont="1" applyBorder="1" applyAlignment="1" applyProtection="1">
      <alignment horizontal="left" vertical="center" wrapText="1"/>
      <protection hidden="1"/>
    </xf>
    <xf numFmtId="0" fontId="10" fillId="0" borderId="0" xfId="0" applyFont="1" applyAlignment="1" applyProtection="1">
      <alignment horizontal="left" vertical="center" wrapText="1"/>
      <protection hidden="1"/>
    </xf>
    <xf numFmtId="165" fontId="8" fillId="0" borderId="0" xfId="0" applyNumberFormat="1" applyFont="1" applyAlignment="1" applyProtection="1">
      <alignment horizontal="left" vertical="center" wrapText="1"/>
      <protection hidden="1"/>
    </xf>
    <xf numFmtId="0" fontId="14" fillId="0" borderId="1" xfId="0" applyFont="1" applyBorder="1" applyAlignment="1" applyProtection="1">
      <alignment horizontal="left" vertical="center" wrapText="1"/>
      <protection hidden="1"/>
    </xf>
    <xf numFmtId="0" fontId="39" fillId="0" borderId="1" xfId="0" applyFont="1" applyBorder="1" applyAlignment="1" applyProtection="1">
      <alignment horizontal="left" vertical="center" wrapText="1"/>
      <protection hidden="1"/>
    </xf>
    <xf numFmtId="165" fontId="8" fillId="0" borderId="7" xfId="1" applyFont="1" applyBorder="1" applyAlignment="1" applyProtection="1">
      <alignment horizontal="center"/>
      <protection hidden="1"/>
    </xf>
    <xf numFmtId="165" fontId="2" fillId="0" borderId="0" xfId="3" applyFont="1" applyAlignment="1" applyProtection="1">
      <alignment horizontal="center"/>
      <protection hidden="1"/>
    </xf>
    <xf numFmtId="0" fontId="10" fillId="0" borderId="0" xfId="0" applyFont="1" applyAlignment="1" applyProtection="1">
      <alignment horizontal="left"/>
      <protection hidden="1"/>
    </xf>
    <xf numFmtId="165" fontId="8" fillId="0" borderId="54" xfId="0" applyNumberFormat="1" applyFont="1" applyBorder="1" applyAlignment="1" applyProtection="1">
      <alignment horizontal="center"/>
      <protection hidden="1"/>
    </xf>
    <xf numFmtId="0" fontId="8" fillId="0" borderId="54" xfId="0" applyFont="1" applyBorder="1" applyAlignment="1" applyProtection="1">
      <alignment horizontal="center"/>
      <protection hidden="1"/>
    </xf>
    <xf numFmtId="165" fontId="2" fillId="0" borderId="0" xfId="3" applyFont="1" applyAlignment="1" applyProtection="1">
      <alignment horizontal="center" vertical="center" wrapText="1"/>
      <protection hidden="1"/>
    </xf>
    <xf numFmtId="165" fontId="9" fillId="0" borderId="0" xfId="3" applyFont="1" applyAlignment="1" applyProtection="1">
      <alignment horizontal="center"/>
      <protection hidden="1"/>
    </xf>
    <xf numFmtId="165" fontId="8" fillId="0" borderId="51" xfId="3" applyFont="1" applyBorder="1" applyAlignment="1" applyProtection="1">
      <alignment horizontal="center"/>
      <protection hidden="1"/>
    </xf>
    <xf numFmtId="165" fontId="2" fillId="0" borderId="44" xfId="1" applyFont="1" applyBorder="1" applyAlignment="1" applyProtection="1">
      <alignment horizontal="center"/>
      <protection hidden="1"/>
    </xf>
    <xf numFmtId="165" fontId="8" fillId="0" borderId="0" xfId="3" applyFont="1" applyAlignment="1" applyProtection="1">
      <alignment horizontal="center"/>
      <protection hidden="1"/>
    </xf>
    <xf numFmtId="0" fontId="53" fillId="4" borderId="29" xfId="0" applyFont="1" applyFill="1" applyBorder="1" applyAlignment="1" applyProtection="1">
      <alignment horizontal="justify" vertical="top" wrapText="1"/>
      <protection hidden="1"/>
    </xf>
    <xf numFmtId="0" fontId="53" fillId="4" borderId="30" xfId="0" applyFont="1" applyFill="1" applyBorder="1" applyAlignment="1" applyProtection="1">
      <alignment horizontal="justify" vertical="top" wrapText="1"/>
      <protection hidden="1"/>
    </xf>
    <xf numFmtId="0" fontId="53" fillId="4" borderId="31" xfId="0" applyFont="1" applyFill="1" applyBorder="1" applyAlignment="1" applyProtection="1">
      <alignment horizontal="justify" vertical="top" wrapText="1"/>
      <protection hidden="1"/>
    </xf>
    <xf numFmtId="0" fontId="53" fillId="4" borderId="59" xfId="0" applyFont="1" applyFill="1" applyBorder="1" applyAlignment="1" applyProtection="1">
      <alignment horizontal="justify" vertical="top" wrapText="1"/>
      <protection hidden="1"/>
    </xf>
    <xf numFmtId="0" fontId="53" fillId="4" borderId="0" xfId="0" applyFont="1" applyFill="1" applyBorder="1" applyAlignment="1" applyProtection="1">
      <alignment horizontal="justify" vertical="top" wrapText="1"/>
      <protection hidden="1"/>
    </xf>
    <xf numFmtId="0" fontId="53" fillId="4" borderId="60" xfId="0" applyFont="1" applyFill="1" applyBorder="1" applyAlignment="1" applyProtection="1">
      <alignment horizontal="justify" vertical="top" wrapText="1"/>
      <protection hidden="1"/>
    </xf>
    <xf numFmtId="0" fontId="53" fillId="4" borderId="32" xfId="0" applyFont="1" applyFill="1" applyBorder="1" applyAlignment="1" applyProtection="1">
      <alignment horizontal="justify" vertical="top" wrapText="1"/>
      <protection hidden="1"/>
    </xf>
    <xf numFmtId="0" fontId="53" fillId="4" borderId="33" xfId="0" applyFont="1" applyFill="1" applyBorder="1" applyAlignment="1" applyProtection="1">
      <alignment horizontal="justify" vertical="top" wrapText="1"/>
      <protection hidden="1"/>
    </xf>
    <xf numFmtId="0" fontId="53" fillId="4" borderId="34" xfId="0" applyFont="1" applyFill="1" applyBorder="1" applyAlignment="1" applyProtection="1">
      <alignment horizontal="justify" vertical="top" wrapText="1"/>
      <protection hidden="1"/>
    </xf>
    <xf numFmtId="165" fontId="8" fillId="0" borderId="0" xfId="3" applyFont="1" applyAlignment="1" applyProtection="1">
      <alignment horizontal="center" vertical="center" wrapText="1"/>
      <protection hidden="1"/>
    </xf>
    <xf numFmtId="0" fontId="31" fillId="0" borderId="0" xfId="0" applyFont="1" applyAlignment="1" applyProtection="1">
      <alignment horizontal="center"/>
      <protection hidden="1"/>
    </xf>
    <xf numFmtId="0" fontId="31" fillId="0" borderId="0" xfId="0" applyFont="1" applyAlignment="1" applyProtection="1">
      <alignment horizontal="left" vertical="center" wrapText="1"/>
      <protection hidden="1"/>
    </xf>
    <xf numFmtId="0" fontId="8" fillId="0" borderId="0" xfId="0" applyFont="1" applyAlignment="1" applyProtection="1">
      <alignment horizontal="left" wrapText="1"/>
      <protection hidden="1"/>
    </xf>
    <xf numFmtId="165" fontId="8" fillId="0" borderId="0" xfId="1" applyFont="1" applyBorder="1" applyAlignment="1" applyProtection="1">
      <alignment horizontal="center"/>
      <protection hidden="1"/>
    </xf>
    <xf numFmtId="165" fontId="8" fillId="0" borderId="54" xfId="3" applyFont="1" applyBorder="1" applyAlignment="1" applyProtection="1">
      <alignment horizontal="center"/>
      <protection hidden="1"/>
    </xf>
    <xf numFmtId="165" fontId="8" fillId="0" borderId="0" xfId="3" applyFont="1" applyBorder="1" applyAlignment="1" applyProtection="1">
      <alignment horizontal="center"/>
      <protection hidden="1"/>
    </xf>
    <xf numFmtId="165" fontId="8" fillId="0" borderId="24" xfId="3" applyFont="1" applyBorder="1" applyAlignment="1" applyProtection="1">
      <alignment horizontal="center"/>
      <protection hidden="1"/>
    </xf>
    <xf numFmtId="165" fontId="8" fillId="0" borderId="7" xfId="3" applyFont="1" applyBorder="1" applyAlignment="1" applyProtection="1">
      <alignment horizontal="center"/>
      <protection hidden="1"/>
    </xf>
    <xf numFmtId="0" fontId="8" fillId="0" borderId="0" xfId="0" quotePrefix="1" applyFont="1" applyAlignment="1" applyProtection="1">
      <alignment horizontal="left"/>
      <protection hidden="1"/>
    </xf>
    <xf numFmtId="165" fontId="8" fillId="0" borderId="17" xfId="3" applyFont="1" applyBorder="1" applyAlignment="1" applyProtection="1">
      <alignment horizontal="center"/>
      <protection hidden="1"/>
    </xf>
    <xf numFmtId="165" fontId="8" fillId="0" borderId="18" xfId="3" applyFont="1" applyBorder="1" applyAlignment="1" applyProtection="1">
      <alignment horizontal="center"/>
      <protection hidden="1"/>
    </xf>
    <xf numFmtId="165" fontId="8" fillId="0" borderId="19" xfId="3" applyFont="1" applyBorder="1" applyAlignment="1" applyProtection="1">
      <alignment horizontal="center"/>
      <protection hidden="1"/>
    </xf>
    <xf numFmtId="165" fontId="8" fillId="0" borderId="5" xfId="1" applyFont="1" applyBorder="1" applyAlignment="1" applyProtection="1">
      <alignment horizontal="center"/>
      <protection hidden="1"/>
    </xf>
    <xf numFmtId="165" fontId="2" fillId="0" borderId="17" xfId="1" applyFont="1" applyBorder="1" applyAlignment="1" applyProtection="1">
      <alignment horizontal="center"/>
      <protection hidden="1"/>
    </xf>
    <xf numFmtId="165" fontId="2" fillId="0" borderId="18" xfId="1" applyFont="1" applyBorder="1" applyAlignment="1" applyProtection="1">
      <alignment horizontal="center"/>
      <protection hidden="1"/>
    </xf>
    <xf numFmtId="165" fontId="2" fillId="0" borderId="19" xfId="1" applyFont="1" applyBorder="1" applyAlignment="1" applyProtection="1">
      <alignment horizontal="center"/>
      <protection hidden="1"/>
    </xf>
    <xf numFmtId="0" fontId="31" fillId="0" borderId="0" xfId="0" applyFont="1" applyAlignment="1" applyProtection="1">
      <alignment horizontal="left"/>
      <protection hidden="1"/>
    </xf>
    <xf numFmtId="0" fontId="10" fillId="0" borderId="0" xfId="0" applyFont="1" applyAlignment="1" applyProtection="1">
      <alignment horizontal="center"/>
      <protection hidden="1"/>
    </xf>
    <xf numFmtId="0" fontId="9" fillId="0" borderId="0" xfId="0" applyFont="1" applyAlignment="1" applyProtection="1">
      <alignment horizontal="center"/>
      <protection hidden="1"/>
    </xf>
    <xf numFmtId="0" fontId="8" fillId="0" borderId="0" xfId="0" quotePrefix="1" applyFont="1" applyAlignment="1" applyProtection="1">
      <alignment horizontal="left" vertical="center" wrapText="1"/>
      <protection hidden="1"/>
    </xf>
    <xf numFmtId="0" fontId="33" fillId="0" borderId="9" xfId="0" applyFont="1" applyBorder="1" applyAlignment="1" applyProtection="1">
      <alignment horizontal="center"/>
      <protection hidden="1"/>
    </xf>
    <xf numFmtId="0" fontId="32" fillId="0" borderId="0" xfId="0" applyFont="1" applyAlignment="1" applyProtection="1">
      <alignment horizontal="left"/>
      <protection hidden="1"/>
    </xf>
    <xf numFmtId="0" fontId="11" fillId="0" borderId="0" xfId="0" applyFont="1" applyAlignment="1" applyProtection="1">
      <alignment horizontal="center"/>
      <protection hidden="1"/>
    </xf>
    <xf numFmtId="0" fontId="41" fillId="5" borderId="0" xfId="0" applyFont="1" applyFill="1" applyAlignment="1" applyProtection="1">
      <alignment horizontal="left" vertical="top" wrapText="1"/>
      <protection hidden="1"/>
    </xf>
    <xf numFmtId="0" fontId="40" fillId="5" borderId="0" xfId="0" applyFont="1" applyFill="1" applyAlignment="1" applyProtection="1">
      <alignment horizontal="left" vertical="top" wrapText="1"/>
      <protection hidden="1"/>
    </xf>
    <xf numFmtId="0" fontId="8" fillId="0" borderId="1" xfId="0" applyFont="1" applyBorder="1" applyAlignment="1" applyProtection="1">
      <alignment horizontal="center"/>
      <protection hidden="1"/>
    </xf>
    <xf numFmtId="0" fontId="23" fillId="4" borderId="0" xfId="5" applyFont="1" applyFill="1" applyAlignment="1" applyProtection="1">
      <alignment horizontal="center" vertical="center" wrapText="1"/>
      <protection hidden="1"/>
    </xf>
    <xf numFmtId="0" fontId="151" fillId="0" borderId="1" xfId="0" applyFont="1" applyBorder="1" applyAlignment="1" applyProtection="1">
      <alignment horizontal="center"/>
      <protection hidden="1"/>
    </xf>
    <xf numFmtId="0" fontId="30" fillId="0" borderId="0" xfId="5" applyFont="1" applyAlignment="1" applyProtection="1">
      <alignment horizontal="center" vertical="center"/>
      <protection hidden="1"/>
    </xf>
    <xf numFmtId="0" fontId="12" fillId="0" borderId="1"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150" fillId="15" borderId="1" xfId="0" applyFont="1" applyFill="1" applyBorder="1" applyAlignment="1" applyProtection="1">
      <alignment horizontal="center"/>
      <protection hidden="1"/>
    </xf>
    <xf numFmtId="165" fontId="3" fillId="0" borderId="1" xfId="1" applyFont="1" applyBorder="1" applyAlignment="1" applyProtection="1">
      <alignment horizontal="justify" vertical="center" wrapText="1"/>
      <protection locked="0"/>
    </xf>
    <xf numFmtId="165" fontId="3" fillId="0" borderId="1" xfId="1" applyFont="1" applyBorder="1" applyAlignment="1" applyProtection="1">
      <alignment horizontal="justify" vertical="center" wrapText="1"/>
      <protection hidden="1"/>
    </xf>
    <xf numFmtId="15" fontId="3" fillId="0" borderId="1" xfId="0" applyNumberFormat="1" applyFont="1" applyBorder="1" applyAlignment="1" applyProtection="1">
      <alignment horizontal="justify" vertical="center" wrapText="1"/>
      <protection locked="0"/>
    </xf>
    <xf numFmtId="0" fontId="4" fillId="2" borderId="1" xfId="0" applyFont="1" applyFill="1" applyBorder="1" applyAlignment="1" applyProtection="1">
      <alignment horizontal="justify" vertical="center" wrapText="1"/>
      <protection hidden="1"/>
    </xf>
    <xf numFmtId="0" fontId="4" fillId="0" borderId="0" xfId="0" applyFont="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15" fontId="4" fillId="0" borderId="21" xfId="0" applyNumberFormat="1" applyFont="1" applyBorder="1" applyAlignment="1" applyProtection="1">
      <alignment horizontal="justify" vertical="center" wrapText="1"/>
      <protection hidden="1"/>
    </xf>
    <xf numFmtId="0" fontId="3" fillId="0" borderId="1"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0" borderId="35"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15" fontId="4" fillId="0" borderId="1" xfId="0" applyNumberFormat="1" applyFont="1" applyBorder="1" applyAlignment="1" applyProtection="1">
      <alignment horizontal="justify" vertical="center" wrapText="1"/>
      <protection hidden="1"/>
    </xf>
    <xf numFmtId="0" fontId="36" fillId="0" borderId="24" xfId="5" applyFont="1" applyBorder="1" applyAlignment="1" applyProtection="1">
      <alignment horizontal="center" vertical="center" wrapText="1"/>
      <protection hidden="1"/>
    </xf>
    <xf numFmtId="0" fontId="36" fillId="0" borderId="21" xfId="5" applyFont="1" applyBorder="1" applyAlignment="1" applyProtection="1">
      <alignment horizontal="center" vertical="center" wrapText="1"/>
      <protection hidden="1"/>
    </xf>
    <xf numFmtId="0" fontId="3" fillId="0" borderId="14" xfId="0" applyFont="1" applyBorder="1" applyAlignment="1" applyProtection="1">
      <alignment horizontal="center" vertical="center" wrapText="1"/>
      <protection hidden="1"/>
    </xf>
    <xf numFmtId="0" fontId="3" fillId="0" borderId="0" xfId="0" applyFont="1" applyAlignment="1" applyProtection="1">
      <alignment horizontal="justify" vertical="center" wrapText="1"/>
      <protection hidden="1"/>
    </xf>
    <xf numFmtId="0" fontId="20" fillId="0" borderId="0" xfId="0" applyFont="1" applyAlignment="1" applyProtection="1">
      <alignment horizontal="justify" vertical="center" wrapText="1"/>
      <protection hidden="1"/>
    </xf>
    <xf numFmtId="0" fontId="4" fillId="0" borderId="3"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0" borderId="6" xfId="0" applyFont="1" applyBorder="1" applyAlignment="1" applyProtection="1">
      <alignment horizontal="center" vertical="center" wrapText="1"/>
      <protection hidden="1"/>
    </xf>
    <xf numFmtId="0" fontId="69" fillId="0" borderId="0" xfId="0" applyFont="1" applyAlignment="1" applyProtection="1">
      <alignment horizontal="center"/>
      <protection hidden="1"/>
    </xf>
    <xf numFmtId="4" fontId="69" fillId="0" borderId="64" xfId="0" applyNumberFormat="1" applyFont="1" applyBorder="1" applyAlignment="1" applyProtection="1">
      <alignment horizontal="right"/>
      <protection hidden="1"/>
    </xf>
    <xf numFmtId="4" fontId="69" fillId="0" borderId="62" xfId="0" applyNumberFormat="1" applyFont="1" applyBorder="1" applyAlignment="1" applyProtection="1">
      <alignment horizontal="right"/>
      <protection hidden="1"/>
    </xf>
    <xf numFmtId="0" fontId="69" fillId="0" borderId="62" xfId="0" applyFont="1" applyBorder="1" applyAlignment="1" applyProtection="1">
      <alignment horizontal="right"/>
      <protection hidden="1"/>
    </xf>
    <xf numFmtId="0" fontId="75" fillId="0" borderId="64" xfId="0" applyFont="1" applyBorder="1" applyAlignment="1" applyProtection="1">
      <alignment horizontal="center" vertical="center" wrapText="1"/>
      <protection hidden="1"/>
    </xf>
    <xf numFmtId="0" fontId="75" fillId="0" borderId="62" xfId="0" applyFont="1" applyBorder="1" applyAlignment="1" applyProtection="1">
      <alignment horizontal="center" vertical="center" wrapText="1"/>
      <protection hidden="1"/>
    </xf>
    <xf numFmtId="0" fontId="75" fillId="0" borderId="65" xfId="0" applyFont="1" applyBorder="1" applyAlignment="1" applyProtection="1">
      <alignment horizontal="center" vertical="center" wrapText="1"/>
      <protection hidden="1"/>
    </xf>
    <xf numFmtId="0" fontId="69" fillId="0" borderId="66" xfId="0" applyFont="1" applyBorder="1" applyAlignment="1" applyProtection="1">
      <alignment horizontal="center" vertical="center" wrapText="1"/>
      <protection hidden="1"/>
    </xf>
    <xf numFmtId="0" fontId="69" fillId="0" borderId="67" xfId="0" applyFont="1" applyBorder="1" applyAlignment="1" applyProtection="1">
      <alignment horizontal="center" vertical="center" wrapText="1"/>
      <protection hidden="1"/>
    </xf>
    <xf numFmtId="0" fontId="69" fillId="0" borderId="64" xfId="0" applyFont="1" applyBorder="1" applyAlignment="1" applyProtection="1">
      <alignment horizontal="left"/>
      <protection hidden="1"/>
    </xf>
    <xf numFmtId="0" fontId="69" fillId="0" borderId="62" xfId="0" applyFont="1" applyBorder="1" applyAlignment="1" applyProtection="1">
      <alignment horizontal="left"/>
      <protection hidden="1"/>
    </xf>
    <xf numFmtId="0" fontId="69" fillId="0" borderId="65" xfId="0" applyFont="1" applyBorder="1" applyAlignment="1" applyProtection="1">
      <alignment horizontal="left"/>
      <protection hidden="1"/>
    </xf>
    <xf numFmtId="4" fontId="69" fillId="0" borderId="65" xfId="0" applyNumberFormat="1" applyFont="1" applyBorder="1" applyAlignment="1" applyProtection="1">
      <alignment horizontal="right"/>
      <protection hidden="1"/>
    </xf>
    <xf numFmtId="0" fontId="69" fillId="0" borderId="0" xfId="0" applyFont="1" applyAlignment="1" applyProtection="1">
      <alignment horizontal="left"/>
      <protection hidden="1"/>
    </xf>
    <xf numFmtId="4" fontId="74" fillId="0" borderId="63" xfId="0" applyNumberFormat="1" applyFont="1" applyBorder="1" applyAlignment="1" applyProtection="1">
      <alignment horizontal="right"/>
      <protection hidden="1"/>
    </xf>
    <xf numFmtId="0" fontId="69" fillId="0" borderId="63" xfId="0" applyFont="1" applyBorder="1" applyAlignment="1" applyProtection="1">
      <alignment horizontal="center"/>
      <protection hidden="1"/>
    </xf>
    <xf numFmtId="17" fontId="2" fillId="0" borderId="1" xfId="0" applyNumberFormat="1" applyFont="1" applyBorder="1" applyAlignment="1" applyProtection="1">
      <alignment horizontal="center"/>
      <protection hidden="1"/>
    </xf>
    <xf numFmtId="0" fontId="2" fillId="0" borderId="1" xfId="0" applyFont="1" applyBorder="1" applyAlignment="1" applyProtection="1">
      <alignment horizontal="center"/>
      <protection hidden="1"/>
    </xf>
    <xf numFmtId="0" fontId="9" fillId="0" borderId="1" xfId="0" applyFont="1" applyBorder="1" applyAlignment="1" applyProtection="1">
      <alignment horizontal="center"/>
      <protection hidden="1"/>
    </xf>
    <xf numFmtId="0" fontId="2" fillId="0" borderId="21" xfId="0" applyFont="1" applyBorder="1" applyAlignment="1" applyProtection="1">
      <alignment horizontal="center"/>
      <protection hidden="1"/>
    </xf>
    <xf numFmtId="0" fontId="10" fillId="0" borderId="1" xfId="0" applyFont="1" applyBorder="1" applyAlignment="1" applyProtection="1">
      <alignment horizontal="center"/>
      <protection hidden="1"/>
    </xf>
    <xf numFmtId="1" fontId="10" fillId="0" borderId="1" xfId="0" applyNumberFormat="1" applyFont="1" applyBorder="1" applyAlignment="1" applyProtection="1">
      <alignment horizontal="center"/>
      <protection hidden="1"/>
    </xf>
  </cellXfs>
  <cellStyles count="18">
    <cellStyle name="Comma" xfId="17" builtinId="3"/>
    <cellStyle name="Comma 2" xfId="10"/>
    <cellStyle name="Comma 3" xfId="13"/>
    <cellStyle name="Currency" xfId="1" builtinId="4"/>
    <cellStyle name="Currency 2" xfId="2"/>
    <cellStyle name="Currency 2 2" xfId="12"/>
    <cellStyle name="Currency 3" xfId="9"/>
    <cellStyle name="Currency 3 2" xfId="15"/>
    <cellStyle name="Currency 4" xfId="11"/>
    <cellStyle name="Currency 4 2" xfId="16"/>
    <cellStyle name="Currency_Master worksheet" xfId="3"/>
    <cellStyle name="Currency_Perks Calculator" xfId="4"/>
    <cellStyle name="Hyperlink" xfId="5" builtinId="8"/>
    <cellStyle name="Normal" xfId="0" builtinId="0"/>
    <cellStyle name="Normal 2" xfId="6"/>
    <cellStyle name="Normal 3" xfId="8"/>
    <cellStyle name="Normal 3 2" xfId="14"/>
    <cellStyle name="Percent" xfId="7" builtinId="5"/>
  </cellStyles>
  <dxfs count="2">
    <dxf>
      <fill>
        <patternFill>
          <bgColor indexed="55"/>
        </patternFill>
      </fill>
    </dxf>
    <dxf>
      <fill>
        <patternFill patternType="darkUp">
          <bgColor indexed="22"/>
        </patternFill>
      </fill>
    </dxf>
  </dxfs>
  <tableStyles count="0" defaultTableStyle="TableStyleMedium9" defaultPivotStyle="PivotStyleLight16"/>
  <colors>
    <mruColors>
      <color rgb="FFFF99FF"/>
      <color rgb="FFFFFFFF"/>
      <color rgb="FF33CC33"/>
      <color rgb="FF0033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uidelines"/>
      <sheetName val="Info"/>
      <sheetName val="Scale of Pay Chart"/>
      <sheetName val="FPP"/>
      <sheetName val="FPP (2)"/>
      <sheetName val="Form 10E"/>
      <sheetName val="TABLE A FOR FORM 10E"/>
      <sheetName val="INCOME TAX ESTIMATE"/>
      <sheetName val="OldScale"/>
      <sheetName val="New Scale"/>
      <sheetName val="Summary"/>
      <sheetName val="Yearwise Summary"/>
      <sheetName val="PF Statement"/>
      <sheetName val="PL Encashment"/>
      <sheetName val="Details"/>
      <sheetName val="INCOME TAX ESTIMATE-Clerks"/>
    </sheetNames>
    <sheetDataSet>
      <sheetData sheetId="0"/>
      <sheetData sheetId="1">
        <row r="2">
          <cell r="F2" t="str">
            <v>Ms. Jeeya Rani</v>
          </cell>
        </row>
      </sheetData>
      <sheetData sheetId="2">
        <row r="2">
          <cell r="B2" t="str">
            <v>Post</v>
          </cell>
        </row>
        <row r="31">
          <cell r="A31">
            <v>14500</v>
          </cell>
        </row>
        <row r="32">
          <cell r="A32">
            <v>15100</v>
          </cell>
        </row>
        <row r="33">
          <cell r="A33">
            <v>15700</v>
          </cell>
        </row>
        <row r="34">
          <cell r="A34">
            <v>16300</v>
          </cell>
        </row>
        <row r="35">
          <cell r="A35">
            <v>16900</v>
          </cell>
        </row>
        <row r="36">
          <cell r="A36">
            <v>17500</v>
          </cell>
        </row>
        <row r="37">
          <cell r="A37">
            <v>18100</v>
          </cell>
        </row>
        <row r="38">
          <cell r="A38">
            <v>18700</v>
          </cell>
        </row>
        <row r="39">
          <cell r="A39">
            <v>19400</v>
          </cell>
        </row>
        <row r="40">
          <cell r="A40">
            <v>20100</v>
          </cell>
        </row>
        <row r="41">
          <cell r="A41">
            <v>20900</v>
          </cell>
        </row>
        <row r="42">
          <cell r="A42">
            <v>21700</v>
          </cell>
        </row>
        <row r="43">
          <cell r="A43">
            <v>22500</v>
          </cell>
        </row>
        <row r="44">
          <cell r="A44">
            <v>23300</v>
          </cell>
        </row>
        <row r="45">
          <cell r="A45">
            <v>24100</v>
          </cell>
        </row>
        <row r="46">
          <cell r="A46">
            <v>24900</v>
          </cell>
        </row>
        <row r="47">
          <cell r="A47">
            <v>25700</v>
          </cell>
        </row>
        <row r="48">
          <cell r="A48">
            <v>26500</v>
          </cell>
        </row>
        <row r="49">
          <cell r="A49">
            <v>27300</v>
          </cell>
        </row>
        <row r="50">
          <cell r="A50">
            <v>28100</v>
          </cell>
        </row>
        <row r="51">
          <cell r="A51">
            <v>28900</v>
          </cell>
        </row>
        <row r="52">
          <cell r="A52">
            <v>29700</v>
          </cell>
        </row>
        <row r="53">
          <cell r="A53">
            <v>30600</v>
          </cell>
        </row>
        <row r="54">
          <cell r="A54">
            <v>31500</v>
          </cell>
        </row>
        <row r="55">
          <cell r="A55">
            <v>32400</v>
          </cell>
        </row>
        <row r="56">
          <cell r="A56">
            <v>33300</v>
          </cell>
        </row>
        <row r="57">
          <cell r="A57">
            <v>34200</v>
          </cell>
        </row>
        <row r="58">
          <cell r="A58">
            <v>35100</v>
          </cell>
        </row>
        <row r="59">
          <cell r="A59">
            <v>36200</v>
          </cell>
        </row>
        <row r="60">
          <cell r="A60">
            <v>37200</v>
          </cell>
        </row>
        <row r="61">
          <cell r="A61">
            <v>38200</v>
          </cell>
        </row>
        <row r="62">
          <cell r="A62">
            <v>39300</v>
          </cell>
        </row>
        <row r="63">
          <cell r="A63">
            <v>40400</v>
          </cell>
        </row>
        <row r="64">
          <cell r="A64">
            <v>42000</v>
          </cell>
        </row>
        <row r="65">
          <cell r="A65">
            <v>43200</v>
          </cell>
        </row>
        <row r="66">
          <cell r="A66">
            <v>44400</v>
          </cell>
        </row>
        <row r="67">
          <cell r="A67">
            <v>45600</v>
          </cell>
        </row>
        <row r="68">
          <cell r="A68">
            <v>46800</v>
          </cell>
        </row>
        <row r="69">
          <cell r="A69">
            <v>48100</v>
          </cell>
        </row>
        <row r="70">
          <cell r="A70">
            <v>49400</v>
          </cell>
        </row>
        <row r="71">
          <cell r="A71">
            <v>50700</v>
          </cell>
        </row>
        <row r="72">
          <cell r="A72">
            <v>52000</v>
          </cell>
        </row>
      </sheetData>
      <sheetData sheetId="3"/>
      <sheetData sheetId="4">
        <row r="3">
          <cell r="B3" t="str">
            <v>800-(Clerks)(0%)</v>
          </cell>
        </row>
        <row r="4">
          <cell r="B4" t="str">
            <v>800-(Clerks)(10%)</v>
          </cell>
        </row>
        <row r="5">
          <cell r="B5" t="str">
            <v>800-(Clerks)(9%)</v>
          </cell>
        </row>
        <row r="6">
          <cell r="B6" t="str">
            <v>800-(Clerks)(7.5%)</v>
          </cell>
        </row>
        <row r="7">
          <cell r="B7" t="str">
            <v>800-(Clerks)(7%)</v>
          </cell>
        </row>
        <row r="8">
          <cell r="B8" t="str">
            <v>No FPP</v>
          </cell>
        </row>
        <row r="9">
          <cell r="B9" t="str">
            <v>800-(I)(0%)</v>
          </cell>
        </row>
        <row r="10">
          <cell r="B10" t="str">
            <v>800-(I)(8.5%)</v>
          </cell>
        </row>
        <row r="11">
          <cell r="B11" t="str">
            <v>800-(I)(12.75%)</v>
          </cell>
        </row>
        <row r="12">
          <cell r="B12" t="str">
            <v>800-(I)(7.5%)</v>
          </cell>
        </row>
        <row r="13">
          <cell r="B13" t="str">
            <v>800-(I)(11.25%)</v>
          </cell>
        </row>
        <row r="14">
          <cell r="B14" t="str">
            <v>800-(I)(6.5%)</v>
          </cell>
        </row>
        <row r="15">
          <cell r="B15" t="str">
            <v>800-(I)(9.75%)</v>
          </cell>
        </row>
        <row r="16">
          <cell r="B16" t="str">
            <v>900-(II)(0%)</v>
          </cell>
        </row>
        <row r="17">
          <cell r="B17" t="str">
            <v>900-(II)(8.5%)</v>
          </cell>
        </row>
        <row r="18">
          <cell r="B18" t="str">
            <v>900-(II)(12.75%)</v>
          </cell>
        </row>
        <row r="19">
          <cell r="B19" t="str">
            <v>900-(II)(7.5%)</v>
          </cell>
        </row>
        <row r="20">
          <cell r="B20" t="str">
            <v>900-(II)(11.25%)</v>
          </cell>
        </row>
        <row r="21">
          <cell r="B21" t="str">
            <v>900-(II)(6.5%)</v>
          </cell>
        </row>
        <row r="22">
          <cell r="B22" t="str">
            <v>900-(II)(9.75%)</v>
          </cell>
        </row>
        <row r="23">
          <cell r="B23" t="str">
            <v>900-(III)(0%)</v>
          </cell>
        </row>
        <row r="24">
          <cell r="B24" t="str">
            <v>900-(III)(8.5%)</v>
          </cell>
        </row>
        <row r="25">
          <cell r="B25" t="str">
            <v>900-(III)(12.75%)</v>
          </cell>
        </row>
        <row r="26">
          <cell r="B26" t="str">
            <v>900-(III)(7.5%)</v>
          </cell>
        </row>
        <row r="27">
          <cell r="B27" t="str">
            <v>900-(III)(11.25%)</v>
          </cell>
        </row>
        <row r="28">
          <cell r="B28" t="str">
            <v>900-(III)(6.5%)</v>
          </cell>
        </row>
        <row r="29">
          <cell r="B29" t="str">
            <v>900-(III)(9.75%)</v>
          </cell>
        </row>
        <row r="30">
          <cell r="B30" t="str">
            <v>1000-(IV)(0%)</v>
          </cell>
        </row>
        <row r="31">
          <cell r="B31" t="str">
            <v>1000-(IV)(8.5%)</v>
          </cell>
        </row>
        <row r="32">
          <cell r="B32" t="str">
            <v>1000-(IV)(12.75%)</v>
          </cell>
        </row>
        <row r="33">
          <cell r="B33" t="str">
            <v>1000-(IV)(7.5%)</v>
          </cell>
        </row>
        <row r="34">
          <cell r="B34" t="str">
            <v>1000-(IV)(11.25%)</v>
          </cell>
        </row>
        <row r="35">
          <cell r="B35" t="str">
            <v>1000-(IV)(6.5%)</v>
          </cell>
        </row>
        <row r="36">
          <cell r="B36" t="str">
            <v>1000-(IV)(9.75%)</v>
          </cell>
        </row>
        <row r="37">
          <cell r="B37" t="str">
            <v>1100-(V)(0%)</v>
          </cell>
        </row>
        <row r="38">
          <cell r="B38" t="str">
            <v>1100-(V)(8.5%)</v>
          </cell>
        </row>
        <row r="39">
          <cell r="B39" t="str">
            <v>1100-(V)(12.75%)</v>
          </cell>
        </row>
        <row r="40">
          <cell r="B40" t="str">
            <v>1100-(V)(7.5%)</v>
          </cell>
        </row>
        <row r="41">
          <cell r="B41" t="str">
            <v>1100-(V)(11.25%)</v>
          </cell>
        </row>
        <row r="42">
          <cell r="B42" t="str">
            <v>1100-(V)(6.5%)</v>
          </cell>
        </row>
        <row r="43">
          <cell r="B43" t="str">
            <v>1100-(V)(9.75%)</v>
          </cell>
        </row>
        <row r="44">
          <cell r="B44" t="str">
            <v>1200-(VI)(0%)</v>
          </cell>
        </row>
        <row r="45">
          <cell r="B45" t="str">
            <v>1200-(VI)(8.5%)</v>
          </cell>
        </row>
        <row r="46">
          <cell r="B46" t="str">
            <v>1200-(VI)(12.75%)</v>
          </cell>
        </row>
        <row r="47">
          <cell r="B47" t="str">
            <v>1200-(VI)(7.5%)</v>
          </cell>
        </row>
        <row r="48">
          <cell r="B48" t="str">
            <v>1200-(VI)(11.25%)</v>
          </cell>
        </row>
        <row r="49">
          <cell r="B49" t="str">
            <v>1200-(VI)(6.5%)</v>
          </cell>
        </row>
        <row r="50">
          <cell r="B50" t="str">
            <v>1200-(VI)(9.75%)</v>
          </cell>
        </row>
        <row r="51">
          <cell r="B51" t="str">
            <v>1300-(VII)(0%)</v>
          </cell>
        </row>
        <row r="52">
          <cell r="B52" t="str">
            <v>1300-(VII)(8.5%)</v>
          </cell>
        </row>
        <row r="53">
          <cell r="B53" t="str">
            <v>1300-(VII)(12.75%)</v>
          </cell>
        </row>
        <row r="54">
          <cell r="B54" t="str">
            <v>1300-(VII)(7.5%)</v>
          </cell>
        </row>
        <row r="55">
          <cell r="B55" t="str">
            <v>1300-(VII)(11.25%)</v>
          </cell>
        </row>
        <row r="56">
          <cell r="B56" t="str">
            <v>1300-(VII)(6.5%)</v>
          </cell>
        </row>
        <row r="57">
          <cell r="B57" t="str">
            <v>1300-(VII)(9.75%)</v>
          </cell>
        </row>
      </sheetData>
      <sheetData sheetId="5"/>
      <sheetData sheetId="6"/>
      <sheetData sheetId="7"/>
      <sheetData sheetId="8"/>
      <sheetData sheetId="9">
        <row r="41">
          <cell r="C41">
            <v>0</v>
          </cell>
        </row>
      </sheetData>
      <sheetData sheetId="10">
        <row r="14">
          <cell r="P14">
            <v>0</v>
          </cell>
        </row>
      </sheetData>
      <sheetData sheetId="11">
        <row r="8">
          <cell r="N8">
            <v>0</v>
          </cell>
        </row>
      </sheetData>
      <sheetData sheetId="12">
        <row r="46">
          <cell r="H46">
            <v>0</v>
          </cell>
        </row>
      </sheetData>
      <sheetData sheetId="13">
        <row r="27">
          <cell r="G27">
            <v>0</v>
          </cell>
        </row>
      </sheetData>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7.vml"/><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8.vml"/><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package" Target="../embeddings/Microsoft_Office_Word_Document1.docx"/></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sheetPr codeName="Sheet10">
    <tabColor rgb="FFC00000"/>
  </sheetPr>
  <dimension ref="B2:H18"/>
  <sheetViews>
    <sheetView workbookViewId="0">
      <selection activeCell="C9" sqref="C9:G9"/>
    </sheetView>
  </sheetViews>
  <sheetFormatPr defaultRowHeight="12.75"/>
  <sheetData>
    <row r="2" spans="2:8">
      <c r="B2" s="346" t="s">
        <v>904</v>
      </c>
      <c r="C2" s="346"/>
      <c r="D2" s="346"/>
      <c r="E2" s="346"/>
      <c r="F2" s="346"/>
      <c r="G2" s="346"/>
      <c r="H2" s="346"/>
    </row>
    <row r="3" spans="2:8">
      <c r="B3" s="346"/>
      <c r="C3" s="346"/>
      <c r="D3" s="346"/>
      <c r="E3" s="346"/>
      <c r="F3" s="346"/>
      <c r="G3" s="346"/>
      <c r="H3" s="346"/>
    </row>
    <row r="4" spans="2:8">
      <c r="B4" s="346"/>
      <c r="C4" s="346"/>
      <c r="D4" s="346"/>
      <c r="E4" s="346"/>
      <c r="F4" s="346"/>
      <c r="G4" s="346"/>
      <c r="H4" s="346"/>
    </row>
    <row r="9" spans="2:8" ht="26.25" customHeight="1">
      <c r="C9" s="348" t="s">
        <v>923</v>
      </c>
      <c r="D9" s="348"/>
      <c r="E9" s="348"/>
      <c r="F9" s="348"/>
      <c r="G9" s="348"/>
    </row>
    <row r="13" spans="2:8">
      <c r="B13" s="347" t="s">
        <v>905</v>
      </c>
      <c r="C13" s="347"/>
      <c r="D13" s="347"/>
      <c r="E13" s="347"/>
      <c r="F13" s="347"/>
      <c r="G13" s="347"/>
      <c r="H13" s="347"/>
    </row>
    <row r="14" spans="2:8" ht="12.75" customHeight="1">
      <c r="B14" s="347"/>
      <c r="C14" s="347"/>
      <c r="D14" s="347"/>
      <c r="E14" s="347"/>
      <c r="F14" s="347"/>
      <c r="G14" s="347"/>
      <c r="H14" s="347"/>
    </row>
    <row r="15" spans="2:8">
      <c r="B15" s="347"/>
      <c r="C15" s="347"/>
      <c r="D15" s="347"/>
      <c r="E15" s="347"/>
      <c r="F15" s="347"/>
      <c r="G15" s="347"/>
      <c r="H15" s="347"/>
    </row>
    <row r="17" spans="3:7">
      <c r="C17" s="349" t="s">
        <v>924</v>
      </c>
      <c r="D17" s="349"/>
      <c r="E17" s="349"/>
      <c r="F17" s="349"/>
      <c r="G17" s="349"/>
    </row>
    <row r="18" spans="3:7">
      <c r="C18" s="349"/>
      <c r="D18" s="349"/>
      <c r="E18" s="349"/>
      <c r="F18" s="349"/>
      <c r="G18" s="349"/>
    </row>
  </sheetData>
  <sheetProtection password="FF61" sheet="1" objects="1" scenarios="1" insertHyperlinks="0"/>
  <mergeCells count="4">
    <mergeCell ref="B2:H4"/>
    <mergeCell ref="B13:H15"/>
    <mergeCell ref="C9:G9"/>
    <mergeCell ref="C17:G18"/>
  </mergeCell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sheetPr codeName="Sheet13"/>
  <dimension ref="A1:I154"/>
  <sheetViews>
    <sheetView workbookViewId="0">
      <selection activeCell="H76" sqref="H76:H78"/>
    </sheetView>
  </sheetViews>
  <sheetFormatPr defaultRowHeight="15"/>
  <cols>
    <col min="1" max="1" width="6.5703125" style="93" customWidth="1"/>
    <col min="2" max="2" width="9.28515625" style="69" customWidth="1"/>
    <col min="3" max="3" width="8.7109375" style="69" customWidth="1"/>
    <col min="4" max="4" width="7.42578125" style="69" bestFit="1" customWidth="1"/>
    <col min="5" max="5" width="7.5703125" style="69" bestFit="1" customWidth="1"/>
    <col min="6" max="6" width="7.7109375" style="69" customWidth="1"/>
    <col min="7" max="8" width="14.7109375" style="69" customWidth="1"/>
    <col min="9" max="9" width="15.140625" style="96" bestFit="1" customWidth="1"/>
    <col min="10" max="16384" width="9.140625" style="69"/>
  </cols>
  <sheetData>
    <row r="1" spans="1:9" ht="30" customHeight="1" thickBot="1">
      <c r="A1" s="942" t="s">
        <v>872</v>
      </c>
      <c r="B1" s="942"/>
      <c r="C1" s="943" t="s">
        <v>517</v>
      </c>
      <c r="D1" s="943"/>
      <c r="E1" s="943"/>
      <c r="F1" s="943"/>
      <c r="G1" s="943"/>
      <c r="H1" s="943"/>
      <c r="I1" s="943"/>
    </row>
    <row r="2" spans="1:9" ht="18" customHeight="1" thickTop="1" thickBot="1">
      <c r="A2" s="944" t="s">
        <v>518</v>
      </c>
      <c r="B2" s="945"/>
      <c r="C2" s="945"/>
      <c r="D2" s="945"/>
      <c r="E2" s="945"/>
      <c r="F2" s="945"/>
      <c r="G2" s="945"/>
      <c r="H2" s="945"/>
      <c r="I2" s="946"/>
    </row>
    <row r="3" spans="1:9" ht="15.75" thickTop="1">
      <c r="A3" s="947" t="s">
        <v>306</v>
      </c>
      <c r="B3" s="948"/>
      <c r="C3" s="948"/>
      <c r="D3" s="948"/>
      <c r="E3" s="949"/>
      <c r="F3" s="947" t="s">
        <v>307</v>
      </c>
      <c r="G3" s="948"/>
      <c r="H3" s="948"/>
      <c r="I3" s="949"/>
    </row>
    <row r="4" spans="1:9">
      <c r="A4" s="950" t="str">
        <f>'Data Sheet'!A1</f>
        <v>UNION BANK OF INDIA</v>
      </c>
      <c r="B4" s="951"/>
      <c r="C4" s="951"/>
      <c r="D4" s="951"/>
      <c r="E4" s="952"/>
      <c r="F4" s="953" t="str">
        <f>IF('Data Sheet'!F7="","",'Data Sheet'!F7)</f>
        <v/>
      </c>
      <c r="G4" s="953"/>
      <c r="H4" s="953"/>
      <c r="I4" s="954"/>
    </row>
    <row r="5" spans="1:9">
      <c r="A5" s="962">
        <f>'Data Sheet'!F14</f>
        <v>0</v>
      </c>
      <c r="B5" s="963"/>
      <c r="C5" s="963"/>
      <c r="D5" s="963"/>
      <c r="E5" s="964"/>
      <c r="F5" s="965" t="str">
        <f>IF('Data Sheet'!F9="","",'Data Sheet'!F9)</f>
        <v/>
      </c>
      <c r="G5" s="965"/>
      <c r="H5" s="965"/>
      <c r="I5" s="966"/>
    </row>
    <row r="6" spans="1:9" ht="24" customHeight="1">
      <c r="A6" s="970">
        <f>'Data Sheet'!F15</f>
        <v>0</v>
      </c>
      <c r="B6" s="971"/>
      <c r="C6" s="971"/>
      <c r="D6" s="971"/>
      <c r="E6" s="972"/>
      <c r="F6" s="255" t="s">
        <v>219</v>
      </c>
      <c r="G6" s="70" t="str">
        <f>IF('Data Sheet'!F8="","",'Data Sheet'!F8)</f>
        <v/>
      </c>
      <c r="H6" s="187" t="s">
        <v>89</v>
      </c>
      <c r="I6" s="188" t="str">
        <f>IF('Data Sheet'!F169="","",'Data Sheet'!F169)</f>
        <v/>
      </c>
    </row>
    <row r="7" spans="1:9">
      <c r="A7" s="941" t="s">
        <v>519</v>
      </c>
      <c r="B7" s="941"/>
      <c r="C7" s="941"/>
      <c r="D7" s="941" t="s">
        <v>520</v>
      </c>
      <c r="E7" s="941"/>
      <c r="F7" s="941"/>
      <c r="G7" s="941" t="s">
        <v>521</v>
      </c>
      <c r="H7" s="941"/>
      <c r="I7" s="941"/>
    </row>
    <row r="8" spans="1:9" ht="20.25" customHeight="1">
      <c r="A8" s="958" t="str">
        <f>IF('Data Sheet'!F20="","",'Data Sheet'!F20)</f>
        <v/>
      </c>
      <c r="B8" s="958"/>
      <c r="C8" s="958"/>
      <c r="D8" s="958" t="str">
        <f>IF('Data Sheet'!F22="","",'Data Sheet'!F22)</f>
        <v/>
      </c>
      <c r="E8" s="958"/>
      <c r="F8" s="958"/>
      <c r="G8" s="958" t="str">
        <f>IF('Data Sheet'!F21="","",'Data Sheet'!F21)</f>
        <v/>
      </c>
      <c r="H8" s="958"/>
      <c r="I8" s="958"/>
    </row>
    <row r="9" spans="1:9" ht="15" customHeight="1">
      <c r="A9" s="941" t="s">
        <v>625</v>
      </c>
      <c r="B9" s="941"/>
      <c r="C9" s="941"/>
      <c r="D9" s="941"/>
      <c r="E9" s="941"/>
      <c r="F9" s="941" t="s">
        <v>7</v>
      </c>
      <c r="G9" s="941"/>
      <c r="H9" s="941" t="s">
        <v>522</v>
      </c>
      <c r="I9" s="941"/>
    </row>
    <row r="10" spans="1:9" ht="25.5" customHeight="1">
      <c r="A10" s="71" t="s">
        <v>523</v>
      </c>
      <c r="B10" s="967" t="str">
        <f>IF('Data Sheet'!F17="","",LOOKUP('Data Sheet'!F17,'CIT-TDS'!A2:A39,'CIT-TDS'!B2:B39))</f>
        <v/>
      </c>
      <c r="C10" s="968"/>
      <c r="D10" s="968"/>
      <c r="E10" s="969"/>
      <c r="F10" s="941"/>
      <c r="G10" s="941"/>
      <c r="H10" s="72" t="s">
        <v>136</v>
      </c>
      <c r="I10" s="72" t="s">
        <v>137</v>
      </c>
    </row>
    <row r="11" spans="1:9" ht="15.75" thickBot="1">
      <c r="A11" s="73" t="s">
        <v>524</v>
      </c>
      <c r="B11" s="959" t="str">
        <f>IF('Data Sheet'!F17="","",LOOKUP('Data Sheet'!F17,'CIT-TDS'!A2:A39,'CIT-TDS'!C2:C39))</f>
        <v/>
      </c>
      <c r="C11" s="959"/>
      <c r="D11" s="74" t="s">
        <v>525</v>
      </c>
      <c r="E11" s="193" t="str">
        <f>IF('Data Sheet'!F17="","",LOOKUP('Data Sheet'!F17,'CIT-TDS'!A2:A39,'CIT-TDS'!D2:D39))</f>
        <v/>
      </c>
      <c r="F11" s="960" t="str">
        <f>IF('Data Sheet'!F25="","",'Data Sheet'!F25)</f>
        <v>2021-2022</v>
      </c>
      <c r="G11" s="961"/>
      <c r="H11" s="75">
        <f>'Data Sheet'!G19</f>
        <v>43922</v>
      </c>
      <c r="I11" s="75">
        <f>'Data Sheet'!I19</f>
        <v>44286</v>
      </c>
    </row>
    <row r="12" spans="1:9" ht="15.75" thickTop="1">
      <c r="A12" s="955" t="s">
        <v>526</v>
      </c>
      <c r="B12" s="956"/>
      <c r="C12" s="956"/>
      <c r="D12" s="956"/>
      <c r="E12" s="956"/>
      <c r="F12" s="956"/>
      <c r="G12" s="956"/>
      <c r="H12" s="956"/>
      <c r="I12" s="957"/>
    </row>
    <row r="13" spans="1:9" s="76" customFormat="1" ht="47.25" customHeight="1">
      <c r="A13" s="940" t="s">
        <v>527</v>
      </c>
      <c r="B13" s="940"/>
      <c r="C13" s="940" t="s">
        <v>528</v>
      </c>
      <c r="D13" s="940"/>
      <c r="E13" s="940"/>
      <c r="F13" s="940" t="s">
        <v>529</v>
      </c>
      <c r="G13" s="940"/>
      <c r="H13" s="940" t="s">
        <v>530</v>
      </c>
      <c r="I13" s="940"/>
    </row>
    <row r="14" spans="1:9">
      <c r="A14" s="974" t="s">
        <v>531</v>
      </c>
      <c r="B14" s="974"/>
      <c r="C14" s="975">
        <f>'Earnings Sheet'!S26</f>
        <v>0</v>
      </c>
      <c r="D14" s="976"/>
      <c r="E14" s="976"/>
      <c r="F14" s="977">
        <f>'Earnings Sheet'!W26</f>
        <v>0</v>
      </c>
      <c r="G14" s="977"/>
      <c r="H14" s="973">
        <f>'Earnings Sheet'!Y26</f>
        <v>0</v>
      </c>
      <c r="I14" s="973"/>
    </row>
    <row r="15" spans="1:9">
      <c r="A15" s="974" t="s">
        <v>532</v>
      </c>
      <c r="B15" s="974"/>
      <c r="C15" s="975">
        <f>'Earnings Sheet'!S29</f>
        <v>0</v>
      </c>
      <c r="D15" s="976"/>
      <c r="E15" s="976"/>
      <c r="F15" s="977">
        <f>'Earnings Sheet'!W29</f>
        <v>0</v>
      </c>
      <c r="G15" s="977"/>
      <c r="H15" s="973">
        <f>'Earnings Sheet'!Y29</f>
        <v>0</v>
      </c>
      <c r="I15" s="973"/>
    </row>
    <row r="16" spans="1:9">
      <c r="A16" s="974" t="s">
        <v>533</v>
      </c>
      <c r="B16" s="974"/>
      <c r="C16" s="975">
        <f>'Earnings Sheet'!S32</f>
        <v>0</v>
      </c>
      <c r="D16" s="976"/>
      <c r="E16" s="976"/>
      <c r="F16" s="977">
        <f>'Earnings Sheet'!W32</f>
        <v>0</v>
      </c>
      <c r="G16" s="977"/>
      <c r="H16" s="973">
        <f>'Earnings Sheet'!Y32</f>
        <v>0</v>
      </c>
      <c r="I16" s="973"/>
    </row>
    <row r="17" spans="1:9">
      <c r="A17" s="974" t="s">
        <v>534</v>
      </c>
      <c r="B17" s="974"/>
      <c r="C17" s="975">
        <f>'Earnings Sheet'!S35</f>
        <v>0</v>
      </c>
      <c r="D17" s="976"/>
      <c r="E17" s="976"/>
      <c r="F17" s="977">
        <f>'Earnings Sheet'!W35</f>
        <v>0</v>
      </c>
      <c r="G17" s="977"/>
      <c r="H17" s="973">
        <f>'Earnings Sheet'!Y35</f>
        <v>0</v>
      </c>
      <c r="I17" s="973"/>
    </row>
    <row r="18" spans="1:9">
      <c r="A18" s="958" t="s">
        <v>26</v>
      </c>
      <c r="B18" s="958"/>
      <c r="C18" s="958"/>
      <c r="D18" s="958"/>
      <c r="E18" s="958"/>
      <c r="F18" s="990">
        <f>SUM(F14:G17)</f>
        <v>0</v>
      </c>
      <c r="G18" s="990"/>
      <c r="H18" s="978">
        <f>SUM(H14:I17)</f>
        <v>0</v>
      </c>
      <c r="I18" s="979"/>
    </row>
    <row r="19" spans="1:9">
      <c r="A19" s="958" t="s">
        <v>535</v>
      </c>
      <c r="B19" s="958"/>
      <c r="C19" s="958"/>
      <c r="D19" s="958"/>
      <c r="E19" s="958"/>
      <c r="F19" s="958"/>
      <c r="G19" s="958"/>
      <c r="H19" s="958"/>
      <c r="I19" s="958"/>
    </row>
    <row r="20" spans="1:9" ht="13.5" customHeight="1">
      <c r="A20" s="940" t="s">
        <v>138</v>
      </c>
      <c r="B20" s="940"/>
      <c r="C20" s="940"/>
      <c r="D20" s="940"/>
      <c r="E20" s="940"/>
      <c r="F20" s="940"/>
      <c r="G20" s="940"/>
      <c r="H20" s="940"/>
      <c r="I20" s="940"/>
    </row>
    <row r="21" spans="1:9">
      <c r="A21" s="187">
        <v>1</v>
      </c>
      <c r="B21" s="982" t="s">
        <v>49</v>
      </c>
      <c r="C21" s="982"/>
      <c r="D21" s="982"/>
      <c r="E21" s="982"/>
      <c r="F21" s="982"/>
      <c r="G21" s="77"/>
      <c r="H21" s="78"/>
      <c r="I21" s="79"/>
    </row>
    <row r="22" spans="1:9">
      <c r="A22" s="80" t="s">
        <v>308</v>
      </c>
      <c r="B22" s="983" t="s">
        <v>536</v>
      </c>
      <c r="C22" s="983"/>
      <c r="D22" s="983"/>
      <c r="E22" s="983"/>
      <c r="F22" s="983"/>
      <c r="G22" s="81">
        <f>'Computation Sheet'!H38-'Computation Sheet'!H37</f>
        <v>0</v>
      </c>
      <c r="H22" s="81"/>
      <c r="I22" s="82"/>
    </row>
    <row r="23" spans="1:9" ht="27" customHeight="1">
      <c r="A23" s="80" t="s">
        <v>286</v>
      </c>
      <c r="B23" s="984" t="s">
        <v>537</v>
      </c>
      <c r="C23" s="984"/>
      <c r="D23" s="984"/>
      <c r="E23" s="984"/>
      <c r="F23" s="984"/>
      <c r="G23" s="81">
        <f>'Form 12BA'!D35</f>
        <v>0</v>
      </c>
      <c r="H23" s="81"/>
      <c r="I23" s="82"/>
    </row>
    <row r="24" spans="1:9" ht="27.75" customHeight="1">
      <c r="A24" s="80" t="s">
        <v>538</v>
      </c>
      <c r="B24" s="984" t="s">
        <v>539</v>
      </c>
      <c r="C24" s="984"/>
      <c r="D24" s="984"/>
      <c r="E24" s="984"/>
      <c r="F24" s="984"/>
      <c r="G24" s="81">
        <f>'Form 12BA'!D36</f>
        <v>0</v>
      </c>
      <c r="H24" s="81"/>
      <c r="I24" s="82"/>
    </row>
    <row r="25" spans="1:9">
      <c r="A25" s="80" t="s">
        <v>287</v>
      </c>
      <c r="B25" s="985" t="s">
        <v>26</v>
      </c>
      <c r="C25" s="986"/>
      <c r="D25" s="986"/>
      <c r="E25" s="986"/>
      <c r="F25" s="987"/>
      <c r="G25" s="81"/>
      <c r="H25" s="81">
        <f>ROUND(SUM(G22:G24),0)</f>
        <v>0</v>
      </c>
      <c r="I25" s="82"/>
    </row>
    <row r="26" spans="1:9">
      <c r="A26" s="950">
        <v>2</v>
      </c>
      <c r="B26" s="989" t="s">
        <v>540</v>
      </c>
      <c r="C26" s="989"/>
      <c r="D26" s="989"/>
      <c r="E26" s="989"/>
      <c r="F26" s="989"/>
      <c r="G26" s="81"/>
      <c r="H26" s="81"/>
      <c r="I26" s="82"/>
    </row>
    <row r="27" spans="1:9">
      <c r="A27" s="988"/>
      <c r="B27" s="991" t="s">
        <v>541</v>
      </c>
      <c r="C27" s="991"/>
      <c r="D27" s="992"/>
      <c r="E27" s="940" t="s">
        <v>542</v>
      </c>
      <c r="F27" s="940"/>
      <c r="G27" s="81"/>
      <c r="H27" s="81"/>
      <c r="I27" s="82"/>
    </row>
    <row r="28" spans="1:9">
      <c r="A28" s="80" t="s">
        <v>308</v>
      </c>
      <c r="B28" s="980" t="s">
        <v>543</v>
      </c>
      <c r="C28" s="980"/>
      <c r="D28" s="981"/>
      <c r="E28" s="993">
        <f>'Computation Sheet'!H46</f>
        <v>0</v>
      </c>
      <c r="F28" s="993"/>
      <c r="G28" s="81"/>
      <c r="H28" s="81"/>
      <c r="I28" s="82"/>
    </row>
    <row r="29" spans="1:9" ht="15" customHeight="1">
      <c r="A29" s="80" t="s">
        <v>286</v>
      </c>
      <c r="B29" s="1002" t="s">
        <v>790</v>
      </c>
      <c r="C29" s="980"/>
      <c r="D29" s="981"/>
      <c r="E29" s="1003">
        <f>SUM('Computation Sheet'!H47:J47)</f>
        <v>0</v>
      </c>
      <c r="F29" s="1004"/>
      <c r="G29" s="81"/>
      <c r="H29" s="81"/>
      <c r="I29" s="82"/>
    </row>
    <row r="30" spans="1:9">
      <c r="A30" s="80" t="s">
        <v>538</v>
      </c>
      <c r="B30" s="980" t="s">
        <v>544</v>
      </c>
      <c r="C30" s="980"/>
      <c r="D30" s="981"/>
      <c r="E30" s="993"/>
      <c r="F30" s="993"/>
      <c r="G30" s="81"/>
      <c r="H30" s="81"/>
      <c r="I30" s="82"/>
    </row>
    <row r="31" spans="1:9">
      <c r="A31" s="80" t="s">
        <v>287</v>
      </c>
      <c r="B31" s="980" t="s">
        <v>791</v>
      </c>
      <c r="C31" s="980"/>
      <c r="D31" s="981"/>
      <c r="E31" s="1005"/>
      <c r="F31" s="1005"/>
      <c r="G31" s="81"/>
      <c r="H31" s="81"/>
      <c r="I31" s="82"/>
    </row>
    <row r="32" spans="1:9">
      <c r="A32" s="187"/>
      <c r="B32" s="995" t="s">
        <v>545</v>
      </c>
      <c r="C32" s="995"/>
      <c r="D32" s="996"/>
      <c r="E32" s="993"/>
      <c r="F32" s="993"/>
      <c r="G32" s="81"/>
      <c r="H32" s="81">
        <f>ROUND(SUM(E28:F31),0)</f>
        <v>0</v>
      </c>
      <c r="I32" s="82"/>
    </row>
    <row r="33" spans="1:9">
      <c r="A33" s="187">
        <v>3</v>
      </c>
      <c r="B33" s="985" t="s">
        <v>546</v>
      </c>
      <c r="C33" s="986"/>
      <c r="D33" s="987"/>
      <c r="E33" s="993"/>
      <c r="F33" s="993"/>
      <c r="G33" s="81"/>
      <c r="H33" s="81">
        <f>H25-H32</f>
        <v>0</v>
      </c>
      <c r="I33" s="82"/>
    </row>
    <row r="34" spans="1:9">
      <c r="A34" s="187">
        <v>4</v>
      </c>
      <c r="B34" s="985" t="s">
        <v>310</v>
      </c>
      <c r="C34" s="986"/>
      <c r="D34" s="987"/>
      <c r="E34" s="993"/>
      <c r="F34" s="993"/>
      <c r="G34" s="81"/>
      <c r="H34" s="81"/>
      <c r="I34" s="82"/>
    </row>
    <row r="35" spans="1:9">
      <c r="A35" s="80" t="s">
        <v>308</v>
      </c>
      <c r="B35" s="1007" t="s">
        <v>1096</v>
      </c>
      <c r="C35" s="1008"/>
      <c r="D35" s="1008"/>
      <c r="E35" s="1008"/>
      <c r="F35" s="1009"/>
      <c r="G35" s="81">
        <f>'Computation Sheet'!H61</f>
        <v>0</v>
      </c>
      <c r="H35" s="81"/>
      <c r="I35" s="82"/>
    </row>
    <row r="36" spans="1:9" ht="15" customHeight="1">
      <c r="A36" s="80" t="s">
        <v>286</v>
      </c>
      <c r="B36" s="1002" t="s">
        <v>242</v>
      </c>
      <c r="C36" s="980"/>
      <c r="D36" s="980"/>
      <c r="E36" s="980"/>
      <c r="F36" s="981"/>
      <c r="G36" s="81">
        <f>'Computation Sheet'!F52</f>
        <v>0</v>
      </c>
      <c r="H36" s="81"/>
      <c r="I36" s="82"/>
    </row>
    <row r="37" spans="1:9" ht="15" customHeight="1">
      <c r="A37" s="80" t="s">
        <v>309</v>
      </c>
      <c r="B37" s="1002" t="s">
        <v>547</v>
      </c>
      <c r="C37" s="980"/>
      <c r="D37" s="980"/>
      <c r="E37" s="980"/>
      <c r="F37" s="981"/>
      <c r="G37" s="81">
        <f>'Computation Sheet'!F51</f>
        <v>0</v>
      </c>
      <c r="H37" s="81"/>
      <c r="I37" s="82"/>
    </row>
    <row r="38" spans="1:9" ht="13.5" customHeight="1">
      <c r="A38" s="192">
        <v>5</v>
      </c>
      <c r="B38" s="994" t="s">
        <v>1097</v>
      </c>
      <c r="C38" s="995"/>
      <c r="D38" s="995"/>
      <c r="E38" s="995"/>
      <c r="F38" s="996"/>
      <c r="G38" s="83"/>
      <c r="H38" s="84">
        <f>ROUND(SUM(G35:G37),0)</f>
        <v>0</v>
      </c>
      <c r="I38" s="85"/>
    </row>
    <row r="39" spans="1:9" ht="15" customHeight="1">
      <c r="A39" s="187">
        <v>6</v>
      </c>
      <c r="B39" s="994" t="s">
        <v>548</v>
      </c>
      <c r="C39" s="995"/>
      <c r="D39" s="995"/>
      <c r="E39" s="995"/>
      <c r="F39" s="996"/>
      <c r="G39" s="86"/>
      <c r="H39" s="81"/>
      <c r="I39" s="82">
        <f>H33-H38</f>
        <v>0</v>
      </c>
    </row>
    <row r="40" spans="1:9">
      <c r="A40" s="997">
        <v>7</v>
      </c>
      <c r="B40" s="994" t="s">
        <v>549</v>
      </c>
      <c r="C40" s="995"/>
      <c r="D40" s="995"/>
      <c r="E40" s="995"/>
      <c r="F40" s="996"/>
      <c r="G40" s="86"/>
      <c r="H40" s="81"/>
      <c r="I40" s="82"/>
    </row>
    <row r="41" spans="1:9">
      <c r="A41" s="998"/>
      <c r="B41" s="1000" t="s">
        <v>550</v>
      </c>
      <c r="C41" s="1000"/>
      <c r="D41" s="1001"/>
      <c r="E41" s="958" t="s">
        <v>542</v>
      </c>
      <c r="F41" s="958"/>
      <c r="G41" s="86"/>
      <c r="H41" s="81"/>
      <c r="I41" s="82"/>
    </row>
    <row r="42" spans="1:9">
      <c r="A42" s="998"/>
      <c r="B42" s="1006" t="s">
        <v>551</v>
      </c>
      <c r="C42" s="1006"/>
      <c r="D42" s="1006"/>
      <c r="E42" s="993">
        <f>'Computation Sheet'!H57</f>
        <v>0</v>
      </c>
      <c r="F42" s="993"/>
      <c r="G42" s="86"/>
      <c r="H42" s="81"/>
      <c r="I42" s="82"/>
    </row>
    <row r="43" spans="1:9">
      <c r="A43" s="998"/>
      <c r="B43" s="1006" t="s">
        <v>552</v>
      </c>
      <c r="C43" s="1006"/>
      <c r="D43" s="1006"/>
      <c r="E43" s="993">
        <f>'Computation Sheet'!H58</f>
        <v>0</v>
      </c>
      <c r="F43" s="993"/>
      <c r="G43" s="81"/>
      <c r="H43" s="81"/>
      <c r="I43" s="82"/>
    </row>
    <row r="44" spans="1:9">
      <c r="A44" s="998"/>
      <c r="B44" s="1006" t="s">
        <v>796</v>
      </c>
      <c r="C44" s="1006"/>
      <c r="D44" s="1006"/>
      <c r="E44" s="993">
        <f>'Computation Sheet'!H59</f>
        <v>0</v>
      </c>
      <c r="F44" s="993"/>
      <c r="G44" s="81"/>
      <c r="H44" s="81"/>
      <c r="I44" s="82"/>
    </row>
    <row r="45" spans="1:9" ht="15" customHeight="1">
      <c r="A45" s="999"/>
      <c r="B45" s="985" t="s">
        <v>553</v>
      </c>
      <c r="C45" s="986"/>
      <c r="D45" s="986"/>
      <c r="E45" s="986"/>
      <c r="F45" s="987"/>
      <c r="G45" s="81"/>
      <c r="H45" s="81">
        <f>SUM(E42:F44)</f>
        <v>0</v>
      </c>
      <c r="I45" s="82"/>
    </row>
    <row r="46" spans="1:9">
      <c r="A46" s="192">
        <v>8</v>
      </c>
      <c r="B46" s="1012" t="s">
        <v>554</v>
      </c>
      <c r="C46" s="1012"/>
      <c r="D46" s="1012"/>
      <c r="E46" s="1012"/>
      <c r="F46" s="1012"/>
      <c r="G46" s="81"/>
      <c r="H46" s="81"/>
      <c r="I46" s="82">
        <f>I39+H45</f>
        <v>0</v>
      </c>
    </row>
    <row r="47" spans="1:9">
      <c r="A47" s="187">
        <v>9</v>
      </c>
      <c r="B47" s="982" t="s">
        <v>555</v>
      </c>
      <c r="C47" s="982"/>
      <c r="D47" s="982"/>
      <c r="E47" s="982"/>
      <c r="F47" s="982"/>
      <c r="G47" s="87" t="s">
        <v>133</v>
      </c>
      <c r="H47" s="87" t="s">
        <v>139</v>
      </c>
      <c r="I47" s="87" t="s">
        <v>870</v>
      </c>
    </row>
    <row r="48" spans="1:9">
      <c r="A48" s="187" t="s">
        <v>556</v>
      </c>
      <c r="B48" s="982" t="s">
        <v>557</v>
      </c>
      <c r="C48" s="982"/>
      <c r="D48" s="982"/>
      <c r="E48" s="982"/>
      <c r="F48" s="982"/>
      <c r="G48" s="77">
        <f>G49+G67+G68+G69</f>
        <v>0</v>
      </c>
      <c r="H48" s="77">
        <f>'Computation Sheet'!F93</f>
        <v>0</v>
      </c>
      <c r="I48" s="77">
        <f>'Computation Sheet'!H93</f>
        <v>0</v>
      </c>
    </row>
    <row r="49" spans="1:9" s="92" customFormat="1">
      <c r="A49" s="80" t="s">
        <v>308</v>
      </c>
      <c r="B49" s="985" t="s">
        <v>311</v>
      </c>
      <c r="C49" s="986"/>
      <c r="D49" s="986"/>
      <c r="E49" s="986"/>
      <c r="F49" s="987"/>
      <c r="G49" s="233">
        <f>SUM(G50:G66)</f>
        <v>0</v>
      </c>
      <c r="H49" s="233">
        <f>'Computation Sheet'!F91</f>
        <v>0</v>
      </c>
      <c r="I49" s="126"/>
    </row>
    <row r="50" spans="1:9" s="92" customFormat="1">
      <c r="A50" s="88" t="s">
        <v>558</v>
      </c>
      <c r="B50" s="1010" t="s">
        <v>337</v>
      </c>
      <c r="C50" s="1010"/>
      <c r="D50" s="1010"/>
      <c r="E50" s="1010"/>
      <c r="F50" s="1010"/>
      <c r="G50" s="84">
        <f>'Computation Sheet'!E68+'Computation Sheet'!E69</f>
        <v>0</v>
      </c>
      <c r="H50" s="84">
        <f>'Computation Sheet'!F68</f>
        <v>0</v>
      </c>
      <c r="I50" s="126"/>
    </row>
    <row r="51" spans="1:9" s="92" customFormat="1">
      <c r="A51" s="88" t="s">
        <v>312</v>
      </c>
      <c r="B51" s="1010" t="s">
        <v>322</v>
      </c>
      <c r="C51" s="1010"/>
      <c r="D51" s="1010"/>
      <c r="E51" s="1010"/>
      <c r="F51" s="1010"/>
      <c r="G51" s="84">
        <f>'Computation Sheet'!E67</f>
        <v>0</v>
      </c>
      <c r="H51" s="84">
        <f>'Computation Sheet'!F67</f>
        <v>0</v>
      </c>
      <c r="I51" s="126"/>
    </row>
    <row r="52" spans="1:9" s="92" customFormat="1">
      <c r="A52" s="88" t="s">
        <v>313</v>
      </c>
      <c r="B52" s="1010" t="s">
        <v>323</v>
      </c>
      <c r="C52" s="1010"/>
      <c r="D52" s="1010"/>
      <c r="E52" s="1010"/>
      <c r="F52" s="1010"/>
      <c r="G52" s="84">
        <f>'Computation Sheet'!E70</f>
        <v>0</v>
      </c>
      <c r="H52" s="84">
        <f>'Computation Sheet'!F70</f>
        <v>0</v>
      </c>
      <c r="I52" s="126"/>
    </row>
    <row r="53" spans="1:9" s="92" customFormat="1">
      <c r="A53" s="88" t="s">
        <v>314</v>
      </c>
      <c r="B53" s="1010" t="s">
        <v>272</v>
      </c>
      <c r="C53" s="1010"/>
      <c r="D53" s="1010"/>
      <c r="E53" s="1010"/>
      <c r="F53" s="1010"/>
      <c r="G53" s="84">
        <f>'Computation Sheet'!E75</f>
        <v>0</v>
      </c>
      <c r="H53" s="84">
        <f>'Computation Sheet'!F75</f>
        <v>0</v>
      </c>
      <c r="I53" s="126"/>
    </row>
    <row r="54" spans="1:9" s="92" customFormat="1">
      <c r="A54" s="88" t="s">
        <v>315</v>
      </c>
      <c r="B54" s="1010" t="s">
        <v>285</v>
      </c>
      <c r="C54" s="1010"/>
      <c r="D54" s="1010"/>
      <c r="E54" s="1010"/>
      <c r="F54" s="1010"/>
      <c r="G54" s="84">
        <f>'Computation Sheet'!E74</f>
        <v>0</v>
      </c>
      <c r="H54" s="84">
        <f>'Computation Sheet'!F74</f>
        <v>0</v>
      </c>
      <c r="I54" s="126"/>
    </row>
    <row r="55" spans="1:9" s="92" customFormat="1">
      <c r="A55" s="88" t="s">
        <v>316</v>
      </c>
      <c r="B55" s="1010" t="s">
        <v>207</v>
      </c>
      <c r="C55" s="1010"/>
      <c r="D55" s="1010"/>
      <c r="E55" s="1010"/>
      <c r="F55" s="1010"/>
      <c r="G55" s="84">
        <f>'Computation Sheet'!E73</f>
        <v>0</v>
      </c>
      <c r="H55" s="84">
        <f>'Computation Sheet'!F73</f>
        <v>0</v>
      </c>
      <c r="I55" s="126"/>
    </row>
    <row r="56" spans="1:9" s="92" customFormat="1">
      <c r="A56" s="88" t="s">
        <v>324</v>
      </c>
      <c r="B56" s="1010" t="s">
        <v>559</v>
      </c>
      <c r="C56" s="1010"/>
      <c r="D56" s="1010"/>
      <c r="E56" s="1010"/>
      <c r="F56" s="1010"/>
      <c r="G56" s="84">
        <f>'Computation Sheet'!E76</f>
        <v>0</v>
      </c>
      <c r="H56" s="84">
        <f>'Computation Sheet'!F76</f>
        <v>0</v>
      </c>
      <c r="I56" s="126"/>
    </row>
    <row r="57" spans="1:9" s="92" customFormat="1">
      <c r="A57" s="88" t="s">
        <v>560</v>
      </c>
      <c r="B57" s="1010" t="s">
        <v>348</v>
      </c>
      <c r="C57" s="1010"/>
      <c r="D57" s="1010"/>
      <c r="E57" s="1010"/>
      <c r="F57" s="1010"/>
      <c r="G57" s="84">
        <f>'Computation Sheet'!E78</f>
        <v>0</v>
      </c>
      <c r="H57" s="84">
        <f>'Computation Sheet'!F78</f>
        <v>0</v>
      </c>
      <c r="I57" s="126"/>
    </row>
    <row r="58" spans="1:9" s="92" customFormat="1">
      <c r="A58" s="88" t="s">
        <v>325</v>
      </c>
      <c r="B58" s="1010" t="s">
        <v>333</v>
      </c>
      <c r="C58" s="1010"/>
      <c r="D58" s="1010"/>
      <c r="E58" s="1010"/>
      <c r="F58" s="1010"/>
      <c r="G58" s="84">
        <f>'Computation Sheet'!E71</f>
        <v>0</v>
      </c>
      <c r="H58" s="84">
        <f>'Computation Sheet'!F71</f>
        <v>0</v>
      </c>
      <c r="I58" s="126"/>
    </row>
    <row r="59" spans="1:9" s="92" customFormat="1">
      <c r="A59" s="88" t="s">
        <v>326</v>
      </c>
      <c r="B59" s="1010" t="s">
        <v>561</v>
      </c>
      <c r="C59" s="1010"/>
      <c r="D59" s="1010"/>
      <c r="E59" s="1010"/>
      <c r="F59" s="1010"/>
      <c r="G59" s="84"/>
      <c r="H59" s="84"/>
      <c r="I59" s="126"/>
    </row>
    <row r="60" spans="1:9" s="92" customFormat="1">
      <c r="A60" s="88" t="s">
        <v>327</v>
      </c>
      <c r="B60" s="1010" t="s">
        <v>562</v>
      </c>
      <c r="C60" s="1010"/>
      <c r="D60" s="1010"/>
      <c r="E60" s="1010"/>
      <c r="F60" s="1010"/>
      <c r="G60" s="84">
        <f>'Computation Sheet'!E80</f>
        <v>0</v>
      </c>
      <c r="H60" s="84">
        <f>'Computation Sheet'!F80</f>
        <v>0</v>
      </c>
      <c r="I60" s="126"/>
    </row>
    <row r="61" spans="1:9" s="92" customFormat="1">
      <c r="A61" s="88" t="s">
        <v>328</v>
      </c>
      <c r="B61" s="1010" t="s">
        <v>334</v>
      </c>
      <c r="C61" s="1010"/>
      <c r="D61" s="1010"/>
      <c r="E61" s="1010"/>
      <c r="F61" s="1010"/>
      <c r="G61" s="84">
        <f>'Computation Sheet'!E81</f>
        <v>0</v>
      </c>
      <c r="H61" s="84">
        <f>'Computation Sheet'!F81</f>
        <v>0</v>
      </c>
      <c r="I61" s="126"/>
    </row>
    <row r="62" spans="1:9" s="92" customFormat="1">
      <c r="A62" s="88" t="s">
        <v>329</v>
      </c>
      <c r="B62" s="1010" t="s">
        <v>335</v>
      </c>
      <c r="C62" s="1010"/>
      <c r="D62" s="1010"/>
      <c r="E62" s="1010"/>
      <c r="F62" s="1010"/>
      <c r="G62" s="84">
        <f>'Computation Sheet'!E66</f>
        <v>0</v>
      </c>
      <c r="H62" s="84">
        <f>'Computation Sheet'!F66</f>
        <v>0</v>
      </c>
      <c r="I62" s="126"/>
    </row>
    <row r="63" spans="1:9" s="92" customFormat="1">
      <c r="A63" s="88" t="s">
        <v>330</v>
      </c>
      <c r="B63" s="1010" t="s">
        <v>563</v>
      </c>
      <c r="C63" s="1010"/>
      <c r="D63" s="1010"/>
      <c r="E63" s="1010"/>
      <c r="F63" s="1010"/>
      <c r="G63" s="84">
        <f>'Computation Sheet'!E82</f>
        <v>0</v>
      </c>
      <c r="H63" s="84">
        <f>'Computation Sheet'!F82</f>
        <v>0</v>
      </c>
      <c r="I63" s="126"/>
    </row>
    <row r="64" spans="1:9" s="92" customFormat="1">
      <c r="A64" s="88" t="s">
        <v>331</v>
      </c>
      <c r="B64" s="1010" t="s">
        <v>564</v>
      </c>
      <c r="C64" s="1010"/>
      <c r="D64" s="1010"/>
      <c r="E64" s="1010"/>
      <c r="F64" s="1010"/>
      <c r="G64" s="84">
        <f>'Computation Sheet'!E86</f>
        <v>0</v>
      </c>
      <c r="H64" s="84">
        <f>'Computation Sheet'!F86</f>
        <v>0</v>
      </c>
      <c r="I64" s="126"/>
    </row>
    <row r="65" spans="1:9" s="92" customFormat="1">
      <c r="A65" s="88" t="s">
        <v>332</v>
      </c>
      <c r="B65" s="1010" t="s">
        <v>565</v>
      </c>
      <c r="C65" s="1010"/>
      <c r="D65" s="1010"/>
      <c r="E65" s="1010"/>
      <c r="F65" s="1010"/>
      <c r="G65" s="84">
        <f>'Computation Sheet'!E90</f>
        <v>0</v>
      </c>
      <c r="H65" s="84">
        <f>'Computation Sheet'!F90</f>
        <v>0</v>
      </c>
      <c r="I65" s="126"/>
    </row>
    <row r="66" spans="1:9" s="92" customFormat="1">
      <c r="A66" s="88" t="s">
        <v>336</v>
      </c>
      <c r="B66" s="1010" t="s">
        <v>566</v>
      </c>
      <c r="C66" s="1010"/>
      <c r="D66" s="1010"/>
      <c r="E66" s="1010"/>
      <c r="F66" s="1010"/>
      <c r="G66" s="84"/>
      <c r="H66" s="84"/>
      <c r="I66" s="126"/>
    </row>
    <row r="67" spans="1:9">
      <c r="A67" s="80" t="s">
        <v>286</v>
      </c>
      <c r="B67" s="982" t="s">
        <v>317</v>
      </c>
      <c r="C67" s="982"/>
      <c r="D67" s="982"/>
      <c r="E67" s="982"/>
      <c r="F67" s="982"/>
      <c r="G67" s="81">
        <f>'Computation Sheet'!D95</f>
        <v>0</v>
      </c>
      <c r="H67" s="81">
        <f>'Computation Sheet'!F95</f>
        <v>0</v>
      </c>
      <c r="I67" s="82"/>
    </row>
    <row r="68" spans="1:9">
      <c r="A68" s="80" t="s">
        <v>538</v>
      </c>
      <c r="B68" s="982" t="s">
        <v>318</v>
      </c>
      <c r="C68" s="982"/>
      <c r="D68" s="982"/>
      <c r="E68" s="982"/>
      <c r="F68" s="982"/>
      <c r="G68" s="81">
        <f>'Computation Sheet'!D96+'Computation Sheet'!D97</f>
        <v>0</v>
      </c>
      <c r="H68" s="81">
        <f>'Computation Sheet'!F96</f>
        <v>0</v>
      </c>
      <c r="I68" s="82"/>
    </row>
    <row r="69" spans="1:9">
      <c r="A69" s="89" t="s">
        <v>567</v>
      </c>
      <c r="B69" s="982" t="s">
        <v>568</v>
      </c>
      <c r="C69" s="1011"/>
      <c r="D69" s="1011"/>
      <c r="E69" s="1011"/>
      <c r="F69" s="1011"/>
      <c r="G69" s="81">
        <f>'Computation Sheet'!D98</f>
        <v>0</v>
      </c>
      <c r="H69" s="81">
        <f>'Computation Sheet'!F98</f>
        <v>0</v>
      </c>
      <c r="I69" s="82"/>
    </row>
    <row r="70" spans="1:9">
      <c r="A70" s="80" t="s">
        <v>913</v>
      </c>
      <c r="B70" s="982" t="s">
        <v>912</v>
      </c>
      <c r="C70" s="1011"/>
      <c r="D70" s="1011"/>
      <c r="E70" s="1011"/>
      <c r="F70" s="1011"/>
      <c r="G70" s="81">
        <f>'Computation Sheet'!D99</f>
        <v>0</v>
      </c>
      <c r="H70" s="81">
        <f>'Computation Sheet'!F99</f>
        <v>0</v>
      </c>
      <c r="I70" s="82"/>
    </row>
    <row r="71" spans="1:9">
      <c r="A71" s="72" t="s">
        <v>108</v>
      </c>
      <c r="B71" s="1020" t="s">
        <v>569</v>
      </c>
      <c r="C71" s="1020"/>
      <c r="D71" s="1020"/>
      <c r="E71" s="1020"/>
      <c r="F71" s="1020"/>
      <c r="G71" s="77">
        <f>SUM(G72:G81)</f>
        <v>0</v>
      </c>
      <c r="H71" s="77">
        <f>SUM(H72:H81)</f>
        <v>0</v>
      </c>
      <c r="I71" s="77">
        <f>H71</f>
        <v>0</v>
      </c>
    </row>
    <row r="72" spans="1:9">
      <c r="A72" s="88" t="s">
        <v>558</v>
      </c>
      <c r="B72" s="191" t="s">
        <v>338</v>
      </c>
      <c r="C72" s="1016" t="s">
        <v>570</v>
      </c>
      <c r="D72" s="1016"/>
      <c r="E72" s="1016"/>
      <c r="F72" s="1017"/>
      <c r="G72" s="81">
        <f>'Computation Sheet'!D100</f>
        <v>0</v>
      </c>
      <c r="H72" s="81">
        <f>'Computation Sheet'!F100</f>
        <v>0</v>
      </c>
      <c r="I72" s="82"/>
    </row>
    <row r="73" spans="1:9">
      <c r="A73" s="88" t="s">
        <v>312</v>
      </c>
      <c r="B73" s="191" t="s">
        <v>339</v>
      </c>
      <c r="C73" s="1016" t="s">
        <v>571</v>
      </c>
      <c r="D73" s="1016"/>
      <c r="E73" s="1016"/>
      <c r="F73" s="1017"/>
      <c r="G73" s="81">
        <f>'Computation Sheet'!D101</f>
        <v>0</v>
      </c>
      <c r="H73" s="81">
        <f>'Computation Sheet'!F101</f>
        <v>0</v>
      </c>
      <c r="I73" s="82"/>
    </row>
    <row r="74" spans="1:9">
      <c r="A74" s="88" t="s">
        <v>313</v>
      </c>
      <c r="B74" s="90" t="s">
        <v>503</v>
      </c>
      <c r="C74" s="1024" t="s">
        <v>572</v>
      </c>
      <c r="D74" s="1024"/>
      <c r="E74" s="1024"/>
      <c r="F74" s="1025"/>
      <c r="G74" s="81">
        <f>'Computation Sheet'!D102</f>
        <v>0</v>
      </c>
      <c r="H74" s="81">
        <f>'Computation Sheet'!F102</f>
        <v>0</v>
      </c>
      <c r="I74" s="82"/>
    </row>
    <row r="75" spans="1:9">
      <c r="A75" s="88" t="s">
        <v>314</v>
      </c>
      <c r="B75" s="191" t="s">
        <v>340</v>
      </c>
      <c r="C75" s="1016" t="s">
        <v>573</v>
      </c>
      <c r="D75" s="1016"/>
      <c r="E75" s="1016"/>
      <c r="F75" s="1017"/>
      <c r="G75" s="81">
        <f>'Computation Sheet'!D103</f>
        <v>0</v>
      </c>
      <c r="H75" s="81">
        <f>'Computation Sheet'!F103</f>
        <v>0</v>
      </c>
      <c r="I75" s="82"/>
    </row>
    <row r="76" spans="1:9">
      <c r="A76" s="88" t="s">
        <v>315</v>
      </c>
      <c r="B76" s="261" t="s">
        <v>933</v>
      </c>
      <c r="C76" s="1018" t="s">
        <v>934</v>
      </c>
      <c r="D76" s="1018"/>
      <c r="E76" s="1018"/>
      <c r="F76" s="1019"/>
      <c r="G76" s="81">
        <f>'Computation Sheet'!D104</f>
        <v>0</v>
      </c>
      <c r="H76" s="81">
        <f>'Computation Sheet'!F104</f>
        <v>0</v>
      </c>
      <c r="I76" s="82"/>
    </row>
    <row r="77" spans="1:9">
      <c r="A77" s="88" t="s">
        <v>316</v>
      </c>
      <c r="B77" s="338" t="s">
        <v>1107</v>
      </c>
      <c r="C77" s="1018" t="s">
        <v>934</v>
      </c>
      <c r="D77" s="1018"/>
      <c r="E77" s="1018"/>
      <c r="F77" s="1019"/>
      <c r="G77" s="81">
        <f>'Computation Sheet'!D105</f>
        <v>0</v>
      </c>
      <c r="H77" s="81">
        <f>'Computation Sheet'!F105</f>
        <v>0</v>
      </c>
      <c r="I77" s="82"/>
    </row>
    <row r="78" spans="1:9">
      <c r="A78" s="88" t="s">
        <v>324</v>
      </c>
      <c r="B78" s="338" t="s">
        <v>1108</v>
      </c>
      <c r="C78" s="1018" t="s">
        <v>1109</v>
      </c>
      <c r="D78" s="1018"/>
      <c r="E78" s="1018"/>
      <c r="F78" s="1019"/>
      <c r="G78" s="81">
        <f>'Computation Sheet'!D106</f>
        <v>0</v>
      </c>
      <c r="H78" s="81">
        <f>'Computation Sheet'!F106</f>
        <v>0</v>
      </c>
      <c r="I78" s="82"/>
    </row>
    <row r="79" spans="1:9" ht="19.5" customHeight="1">
      <c r="A79" s="88" t="s">
        <v>1106</v>
      </c>
      <c r="B79" s="191" t="s">
        <v>342</v>
      </c>
      <c r="C79" s="1016" t="s">
        <v>341</v>
      </c>
      <c r="D79" s="1016"/>
      <c r="E79" s="1016"/>
      <c r="F79" s="1017"/>
      <c r="G79" s="81">
        <f>'Computation Sheet'!D107</f>
        <v>0</v>
      </c>
      <c r="H79" s="81">
        <f>'Computation Sheet'!F107</f>
        <v>0</v>
      </c>
      <c r="I79" s="82"/>
    </row>
    <row r="80" spans="1:9" ht="17.25" customHeight="1">
      <c r="A80" s="88" t="s">
        <v>325</v>
      </c>
      <c r="B80" s="191" t="s">
        <v>343</v>
      </c>
      <c r="C80" s="1016" t="s">
        <v>344</v>
      </c>
      <c r="D80" s="1016"/>
      <c r="E80" s="1016"/>
      <c r="F80" s="1017"/>
      <c r="G80" s="81">
        <f>'Computation Sheet'!D110</f>
        <v>0</v>
      </c>
      <c r="H80" s="81">
        <f>'Computation Sheet'!F110</f>
        <v>0</v>
      </c>
      <c r="I80" s="82"/>
    </row>
    <row r="81" spans="1:9" ht="17.25" customHeight="1">
      <c r="A81" s="88" t="s">
        <v>326</v>
      </c>
      <c r="B81" s="191" t="s">
        <v>345</v>
      </c>
      <c r="C81" s="1016" t="s">
        <v>574</v>
      </c>
      <c r="D81" s="1016"/>
      <c r="E81" s="1016"/>
      <c r="F81" s="1017"/>
      <c r="G81" s="81">
        <f>'Computation Sheet'!D111</f>
        <v>0</v>
      </c>
      <c r="H81" s="81">
        <f>'Computation Sheet'!F111</f>
        <v>0</v>
      </c>
      <c r="I81" s="82"/>
    </row>
    <row r="82" spans="1:9" ht="18.75" customHeight="1">
      <c r="A82" s="91">
        <v>10</v>
      </c>
      <c r="B82" s="1002" t="s">
        <v>575</v>
      </c>
      <c r="C82" s="980"/>
      <c r="D82" s="980"/>
      <c r="E82" s="980"/>
      <c r="F82" s="981"/>
      <c r="G82" s="81"/>
      <c r="H82" s="81"/>
      <c r="I82" s="85">
        <f>I48+I71</f>
        <v>0</v>
      </c>
    </row>
    <row r="83" spans="1:9" s="92" customFormat="1">
      <c r="A83" s="189">
        <v>11</v>
      </c>
      <c r="B83" s="994" t="s">
        <v>576</v>
      </c>
      <c r="C83" s="995"/>
      <c r="D83" s="995"/>
      <c r="E83" s="995"/>
      <c r="F83" s="996"/>
      <c r="G83" s="84"/>
      <c r="H83" s="84"/>
      <c r="I83" s="125">
        <f>I46-I82</f>
        <v>0</v>
      </c>
    </row>
    <row r="84" spans="1:9" s="92" customFormat="1">
      <c r="A84" s="189">
        <v>12</v>
      </c>
      <c r="B84" s="994" t="s">
        <v>253</v>
      </c>
      <c r="C84" s="995"/>
      <c r="D84" s="995"/>
      <c r="E84" s="995"/>
      <c r="F84" s="996"/>
      <c r="G84" s="84"/>
      <c r="H84" s="84"/>
      <c r="I84" s="85">
        <f>'Computation Sheet'!H114</f>
        <v>0</v>
      </c>
    </row>
    <row r="85" spans="1:9" s="92" customFormat="1">
      <c r="A85" s="262">
        <v>13</v>
      </c>
      <c r="B85" s="994" t="s">
        <v>940</v>
      </c>
      <c r="C85" s="995"/>
      <c r="D85" s="995"/>
      <c r="E85" s="995"/>
      <c r="F85" s="996"/>
      <c r="G85" s="84"/>
      <c r="H85" s="84"/>
      <c r="I85" s="85">
        <f>'Computation Sheet'!H115</f>
        <v>0</v>
      </c>
    </row>
    <row r="86" spans="1:9" s="92" customFormat="1">
      <c r="A86" s="262">
        <v>14</v>
      </c>
      <c r="B86" s="994" t="s">
        <v>941</v>
      </c>
      <c r="C86" s="995"/>
      <c r="D86" s="995"/>
      <c r="E86" s="995"/>
      <c r="F86" s="996"/>
      <c r="G86" s="84"/>
      <c r="H86" s="84"/>
      <c r="I86" s="85">
        <f>I84-I85</f>
        <v>0</v>
      </c>
    </row>
    <row r="87" spans="1:9" ht="19.5" customHeight="1">
      <c r="A87" s="262">
        <v>15</v>
      </c>
      <c r="B87" s="1002" t="s">
        <v>814</v>
      </c>
      <c r="C87" s="980"/>
      <c r="D87" s="980"/>
      <c r="E87" s="980"/>
      <c r="F87" s="981"/>
      <c r="G87" s="81"/>
      <c r="H87" s="81"/>
      <c r="I87" s="85">
        <f>'Computation Sheet'!H118</f>
        <v>0</v>
      </c>
    </row>
    <row r="88" spans="1:9" s="92" customFormat="1" ht="18.75" customHeight="1">
      <c r="A88" s="262">
        <v>16</v>
      </c>
      <c r="B88" s="994" t="s">
        <v>942</v>
      </c>
      <c r="C88" s="995"/>
      <c r="D88" s="995"/>
      <c r="E88" s="995"/>
      <c r="F88" s="996"/>
      <c r="G88" s="84"/>
      <c r="H88" s="84"/>
      <c r="I88" s="85">
        <f>ROUND(I86+I87,0)</f>
        <v>0</v>
      </c>
    </row>
    <row r="89" spans="1:9" ht="19.5" customHeight="1">
      <c r="A89" s="262">
        <v>17</v>
      </c>
      <c r="B89" s="1002" t="s">
        <v>319</v>
      </c>
      <c r="C89" s="980"/>
      <c r="D89" s="980"/>
      <c r="E89" s="980"/>
      <c r="F89" s="981"/>
      <c r="G89" s="81"/>
      <c r="H89" s="81"/>
      <c r="I89" s="82" t="str">
        <f>'Computation Sheet'!H120</f>
        <v>Error!-Enter Data for Form 10E in Info Sheet</v>
      </c>
    </row>
    <row r="90" spans="1:9" s="92" customFormat="1" ht="21" customHeight="1">
      <c r="A90" s="262">
        <v>18</v>
      </c>
      <c r="B90" s="994" t="s">
        <v>943</v>
      </c>
      <c r="C90" s="1013"/>
      <c r="D90" s="1013"/>
      <c r="E90" s="1013"/>
      <c r="F90" s="1014"/>
      <c r="G90" s="84"/>
      <c r="H90" s="84"/>
      <c r="I90" s="85" t="e">
        <f>I88-I89</f>
        <v>#VALUE!</v>
      </c>
    </row>
    <row r="91" spans="1:9" s="92" customFormat="1" ht="21" customHeight="1">
      <c r="A91" s="262">
        <v>19</v>
      </c>
      <c r="B91" s="994" t="s">
        <v>871</v>
      </c>
      <c r="C91" s="1013"/>
      <c r="D91" s="1013"/>
      <c r="E91" s="1013"/>
      <c r="F91" s="1014"/>
      <c r="G91" s="84"/>
      <c r="H91" s="84"/>
      <c r="I91" s="85">
        <f>'Computation Sheet'!H121</f>
        <v>0</v>
      </c>
    </row>
    <row r="92" spans="1:9" s="92" customFormat="1" ht="21" customHeight="1">
      <c r="A92" s="262">
        <v>20</v>
      </c>
      <c r="B92" s="994" t="e">
        <f>IF(I92&gt;0,"TAX PAYABLE",IF(I92&lt;0,"TAX REFUNDABLE",IF(I92=0,"TAX PAYABLE/REFUNDABLE")))</f>
        <v>#VALUE!</v>
      </c>
      <c r="C92" s="1013"/>
      <c r="D92" s="1013"/>
      <c r="E92" s="1013"/>
      <c r="F92" s="1014"/>
      <c r="G92" s="84"/>
      <c r="H92" s="84"/>
      <c r="I92" s="85" t="e">
        <f>I90-I91</f>
        <v>#VALUE!</v>
      </c>
    </row>
    <row r="93" spans="1:9" ht="15.75" customHeight="1" thickBot="1">
      <c r="A93" s="1021" t="s">
        <v>577</v>
      </c>
      <c r="B93" s="1022"/>
      <c r="C93" s="1022"/>
      <c r="D93" s="1022"/>
      <c r="E93" s="1022"/>
      <c r="F93" s="1022"/>
      <c r="G93" s="1022"/>
      <c r="H93" s="1022"/>
      <c r="I93" s="1023"/>
    </row>
    <row r="94" spans="1:9" ht="64.5" customHeight="1" thickTop="1">
      <c r="A94" s="1015" t="str">
        <f>"I, "&amp;'Data Sheet'!F164&amp;"."&amp;'Data Sheet'!G164&amp;", " &amp; 'Data Sheet'!F165 &amp; " of "   &amp;  "Mr."&amp;'Data Sheet'!G166&amp;" working in the capacity of "&amp;'Data Sheet'!F167&amp;"  do hereby certify that a sum of Rupees "&amp; B124 &amp; "  has been deducted and deposited to the credit of the Central Government." &amp; "  I further certify that the information given above is true, complete and correct and is based on the books of accounts, documents, TDS Statement, TDS deposited and other available records."</f>
        <v>I, Shri., Son  of Mr. working in the capacity of   do hereby certify that a sum of Rupees 0  has been deducted and deposited to the credit of the Central Government.  I further certify that the information given above is true, complete and correct and is based on the books of accounts, documents, TDS Statement, TDS deposited and other available records.</v>
      </c>
      <c r="B94" s="1015"/>
      <c r="C94" s="1015"/>
      <c r="D94" s="1015"/>
      <c r="E94" s="1015"/>
      <c r="F94" s="1015"/>
      <c r="G94" s="1015"/>
      <c r="H94" s="1015"/>
      <c r="I94" s="1015"/>
    </row>
    <row r="95" spans="1:9">
      <c r="A95" s="69"/>
      <c r="F95" s="958"/>
      <c r="G95" s="958"/>
      <c r="H95" s="958"/>
      <c r="I95" s="958"/>
    </row>
    <row r="96" spans="1:9">
      <c r="A96" s="69"/>
      <c r="F96" s="958"/>
      <c r="G96" s="958"/>
      <c r="H96" s="958"/>
      <c r="I96" s="958"/>
    </row>
    <row r="97" spans="1:9">
      <c r="A97" s="69"/>
      <c r="F97" s="1030" t="s">
        <v>140</v>
      </c>
      <c r="G97" s="1030"/>
      <c r="H97" s="1030"/>
      <c r="I97" s="1030"/>
    </row>
    <row r="98" spans="1:9">
      <c r="G98" s="94"/>
      <c r="H98" s="94"/>
      <c r="I98" s="95"/>
    </row>
    <row r="99" spans="1:9">
      <c r="A99" s="93" t="s">
        <v>165</v>
      </c>
      <c r="B99" s="1031" t="str">
        <f>UPPER('Data Sheet'!F171)</f>
        <v/>
      </c>
      <c r="C99" s="1031"/>
      <c r="F99" s="1032" t="s">
        <v>578</v>
      </c>
      <c r="G99" s="1032"/>
      <c r="H99" s="1033" t="str">
        <f>'Data Sheet'!F164 &amp;"."  &amp;'Data Sheet'!G164</f>
        <v>Shri.</v>
      </c>
      <c r="I99" s="1033"/>
    </row>
    <row r="100" spans="1:9">
      <c r="A100" s="93" t="s">
        <v>166</v>
      </c>
      <c r="B100" s="1038">
        <f>'Data Sheet'!F170</f>
        <v>0</v>
      </c>
      <c r="C100" s="1038"/>
      <c r="F100" s="1032" t="s">
        <v>3</v>
      </c>
      <c r="G100" s="1032"/>
      <c r="H100" s="1033">
        <f>'Data Sheet'!F167</f>
        <v>0</v>
      </c>
      <c r="I100" s="1033"/>
    </row>
    <row r="101" spans="1:9">
      <c r="G101" s="94"/>
      <c r="H101" s="94"/>
      <c r="I101" s="95"/>
    </row>
    <row r="102" spans="1:9">
      <c r="A102" s="1039" t="s">
        <v>579</v>
      </c>
      <c r="B102" s="1039"/>
      <c r="C102" s="1039"/>
      <c r="D102" s="1039"/>
      <c r="E102" s="1039"/>
      <c r="F102" s="1039"/>
      <c r="G102" s="1039"/>
      <c r="H102" s="1039"/>
      <c r="I102" s="1039"/>
    </row>
    <row r="103" spans="1:9">
      <c r="A103" s="1037" t="s">
        <v>580</v>
      </c>
      <c r="B103" s="1037"/>
      <c r="C103" s="1037"/>
      <c r="D103" s="1037"/>
      <c r="E103" s="1037"/>
      <c r="F103" s="1037"/>
      <c r="G103" s="1037"/>
      <c r="H103" s="1037"/>
      <c r="I103" s="1037"/>
    </row>
    <row r="104" spans="1:9">
      <c r="A104" s="1034" t="s">
        <v>581</v>
      </c>
      <c r="B104" s="1034"/>
      <c r="C104" s="1034"/>
      <c r="D104" s="1034"/>
      <c r="E104" s="1034"/>
      <c r="F104" s="1034"/>
      <c r="G104" s="1034"/>
      <c r="H104" s="1034"/>
      <c r="I104" s="1034"/>
    </row>
    <row r="105" spans="1:9" ht="42" customHeight="1">
      <c r="A105" s="1035" t="s">
        <v>89</v>
      </c>
      <c r="B105" s="1035" t="s">
        <v>582</v>
      </c>
      <c r="C105" s="1035"/>
      <c r="D105" s="1035" t="s">
        <v>583</v>
      </c>
      <c r="E105" s="1035"/>
      <c r="F105" s="1035"/>
      <c r="G105" s="1035"/>
      <c r="H105" s="1035"/>
      <c r="I105" s="1035"/>
    </row>
    <row r="106" spans="1:9" ht="30.75" customHeight="1">
      <c r="A106" s="1035"/>
      <c r="B106" s="1035"/>
      <c r="C106" s="1035"/>
      <c r="D106" s="940" t="s">
        <v>584</v>
      </c>
      <c r="E106" s="940"/>
      <c r="F106" s="940"/>
      <c r="G106" s="1036" t="s">
        <v>585</v>
      </c>
      <c r="H106" s="1036"/>
      <c r="I106" s="190" t="s">
        <v>586</v>
      </c>
    </row>
    <row r="107" spans="1:9">
      <c r="A107" s="187">
        <v>1</v>
      </c>
      <c r="B107" s="1026">
        <f>IF('Earnings Sheet'!D26="","",'Earnings Sheet'!D26)</f>
        <v>0</v>
      </c>
      <c r="C107" s="1026"/>
      <c r="D107" s="1027" t="str">
        <f>IF('Earnings Sheet'!F26="","",'Earnings Sheet'!F26)</f>
        <v/>
      </c>
      <c r="E107" s="1027"/>
      <c r="F107" s="1027"/>
      <c r="G107" s="1028" t="str">
        <f>IF('Earnings Sheet'!H26="","",'Earnings Sheet'!H26)</f>
        <v/>
      </c>
      <c r="H107" s="1029"/>
      <c r="I107" s="127" t="str">
        <f>IF('Earnings Sheet'!J26="","",'Earnings Sheet'!J26)</f>
        <v/>
      </c>
    </row>
    <row r="108" spans="1:9">
      <c r="A108" s="187">
        <v>2</v>
      </c>
      <c r="B108" s="1026">
        <f>IF('Earnings Sheet'!D27="","",'Earnings Sheet'!D27)</f>
        <v>0</v>
      </c>
      <c r="C108" s="1026"/>
      <c r="D108" s="1027" t="str">
        <f>IF('Earnings Sheet'!F27="","",'Earnings Sheet'!F27)</f>
        <v/>
      </c>
      <c r="E108" s="1027"/>
      <c r="F108" s="1027"/>
      <c r="G108" s="1028" t="str">
        <f>IF('Earnings Sheet'!H27="","",'Earnings Sheet'!H27)</f>
        <v/>
      </c>
      <c r="H108" s="1029"/>
      <c r="I108" s="127" t="str">
        <f>IF('Earnings Sheet'!J27="","",'Earnings Sheet'!J27)</f>
        <v/>
      </c>
    </row>
    <row r="109" spans="1:9">
      <c r="A109" s="187">
        <v>3</v>
      </c>
      <c r="B109" s="1026">
        <f>IF('Earnings Sheet'!D28="","",'Earnings Sheet'!D28)</f>
        <v>0</v>
      </c>
      <c r="C109" s="1026"/>
      <c r="D109" s="1027" t="str">
        <f>IF('Earnings Sheet'!F28="","",'Earnings Sheet'!F28)</f>
        <v/>
      </c>
      <c r="E109" s="1027"/>
      <c r="F109" s="1027"/>
      <c r="G109" s="1028" t="str">
        <f>IF('Earnings Sheet'!H28="","",'Earnings Sheet'!H28)</f>
        <v/>
      </c>
      <c r="H109" s="1029"/>
      <c r="I109" s="127" t="str">
        <f>IF('Earnings Sheet'!J28="","",'Earnings Sheet'!J28)</f>
        <v/>
      </c>
    </row>
    <row r="110" spans="1:9">
      <c r="A110" s="187">
        <v>4</v>
      </c>
      <c r="B110" s="1026">
        <f>IF('Earnings Sheet'!D29="","",'Earnings Sheet'!D29)</f>
        <v>0</v>
      </c>
      <c r="C110" s="1026"/>
      <c r="D110" s="1027" t="str">
        <f>IF('Earnings Sheet'!F29="","",'Earnings Sheet'!F29)</f>
        <v/>
      </c>
      <c r="E110" s="1027"/>
      <c r="F110" s="1027"/>
      <c r="G110" s="1028" t="str">
        <f>IF('Earnings Sheet'!H29="","",'Earnings Sheet'!H29)</f>
        <v/>
      </c>
      <c r="H110" s="1029"/>
      <c r="I110" s="127" t="str">
        <f>IF('Earnings Sheet'!J29="","",'Earnings Sheet'!J29)</f>
        <v/>
      </c>
    </row>
    <row r="111" spans="1:9">
      <c r="A111" s="187">
        <v>5</v>
      </c>
      <c r="B111" s="1026">
        <f>IF('Earnings Sheet'!D30="","",'Earnings Sheet'!D30)</f>
        <v>0</v>
      </c>
      <c r="C111" s="1026"/>
      <c r="D111" s="1027" t="str">
        <f>IF('Earnings Sheet'!F30="","",'Earnings Sheet'!F30)</f>
        <v/>
      </c>
      <c r="E111" s="1027"/>
      <c r="F111" s="1027"/>
      <c r="G111" s="1028" t="str">
        <f>IF('Earnings Sheet'!H30="","",'Earnings Sheet'!H30)</f>
        <v/>
      </c>
      <c r="H111" s="1029"/>
      <c r="I111" s="127" t="str">
        <f>IF('Earnings Sheet'!J30="","",'Earnings Sheet'!J30)</f>
        <v/>
      </c>
    </row>
    <row r="112" spans="1:9">
      <c r="A112" s="187">
        <v>6</v>
      </c>
      <c r="B112" s="1026">
        <f>IF('Earnings Sheet'!D31="","",'Earnings Sheet'!D31)</f>
        <v>0</v>
      </c>
      <c r="C112" s="1026"/>
      <c r="D112" s="1027" t="str">
        <f>IF('Earnings Sheet'!F31="","",'Earnings Sheet'!F31)</f>
        <v/>
      </c>
      <c r="E112" s="1027"/>
      <c r="F112" s="1027"/>
      <c r="G112" s="1028" t="str">
        <f>IF('Earnings Sheet'!H31="","",'Earnings Sheet'!H31)</f>
        <v/>
      </c>
      <c r="H112" s="1029"/>
      <c r="I112" s="127" t="str">
        <f>IF('Earnings Sheet'!J31="","",'Earnings Sheet'!J31)</f>
        <v/>
      </c>
    </row>
    <row r="113" spans="1:9">
      <c r="A113" s="187">
        <v>7</v>
      </c>
      <c r="B113" s="1026">
        <f>IF('Earnings Sheet'!D32="","",'Earnings Sheet'!D32)</f>
        <v>0</v>
      </c>
      <c r="C113" s="1026"/>
      <c r="D113" s="1027" t="str">
        <f>IF('Earnings Sheet'!F32="","",'Earnings Sheet'!F32)</f>
        <v/>
      </c>
      <c r="E113" s="1027"/>
      <c r="F113" s="1027"/>
      <c r="G113" s="1028" t="str">
        <f>IF('Earnings Sheet'!H32="","",'Earnings Sheet'!H32)</f>
        <v/>
      </c>
      <c r="H113" s="1029"/>
      <c r="I113" s="127" t="str">
        <f>IF('Earnings Sheet'!J32="","",'Earnings Sheet'!J32)</f>
        <v/>
      </c>
    </row>
    <row r="114" spans="1:9">
      <c r="A114" s="187">
        <v>8</v>
      </c>
      <c r="B114" s="1026">
        <f>IF('Earnings Sheet'!D33="","",'Earnings Sheet'!D33)</f>
        <v>0</v>
      </c>
      <c r="C114" s="1026"/>
      <c r="D114" s="1027" t="str">
        <f>IF('Earnings Sheet'!F33="","",'Earnings Sheet'!F33)</f>
        <v/>
      </c>
      <c r="E114" s="1027"/>
      <c r="F114" s="1027"/>
      <c r="G114" s="1028" t="str">
        <f>IF('Earnings Sheet'!H33="","",'Earnings Sheet'!H33)</f>
        <v/>
      </c>
      <c r="H114" s="1029"/>
      <c r="I114" s="127" t="str">
        <f>IF('Earnings Sheet'!J33="","",'Earnings Sheet'!J33)</f>
        <v/>
      </c>
    </row>
    <row r="115" spans="1:9">
      <c r="A115" s="187">
        <v>9</v>
      </c>
      <c r="B115" s="1026">
        <f>IF('Earnings Sheet'!D34="","",'Earnings Sheet'!D34)</f>
        <v>0</v>
      </c>
      <c r="C115" s="1026"/>
      <c r="D115" s="1027" t="str">
        <f>IF('Earnings Sheet'!F34="","",'Earnings Sheet'!F34)</f>
        <v/>
      </c>
      <c r="E115" s="1027"/>
      <c r="F115" s="1027"/>
      <c r="G115" s="1028" t="str">
        <f>IF('Earnings Sheet'!H34="","",'Earnings Sheet'!H34)</f>
        <v/>
      </c>
      <c r="H115" s="1029"/>
      <c r="I115" s="127" t="str">
        <f>IF('Earnings Sheet'!J34="","",'Earnings Sheet'!J34)</f>
        <v/>
      </c>
    </row>
    <row r="116" spans="1:9">
      <c r="A116" s="187">
        <v>10</v>
      </c>
      <c r="B116" s="1026">
        <f>IF('Earnings Sheet'!D35="","",'Earnings Sheet'!D35)</f>
        <v>0</v>
      </c>
      <c r="C116" s="1026"/>
      <c r="D116" s="1027" t="str">
        <f>IF('Earnings Sheet'!F35="","",'Earnings Sheet'!F35)</f>
        <v/>
      </c>
      <c r="E116" s="1027"/>
      <c r="F116" s="1027"/>
      <c r="G116" s="1028" t="str">
        <f>IF('Earnings Sheet'!H35="","",'Earnings Sheet'!H35)</f>
        <v/>
      </c>
      <c r="H116" s="1029"/>
      <c r="I116" s="127" t="str">
        <f>IF('Earnings Sheet'!J35="","",'Earnings Sheet'!J35)</f>
        <v/>
      </c>
    </row>
    <row r="117" spans="1:9">
      <c r="A117" s="187">
        <v>11</v>
      </c>
      <c r="B117" s="1026">
        <f>IF('Earnings Sheet'!D36="","",'Earnings Sheet'!D36)</f>
        <v>0</v>
      </c>
      <c r="C117" s="1026"/>
      <c r="D117" s="1027" t="str">
        <f>IF('Earnings Sheet'!F36="","",'Earnings Sheet'!F36)</f>
        <v/>
      </c>
      <c r="E117" s="1027"/>
      <c r="F117" s="1027"/>
      <c r="G117" s="1028" t="str">
        <f>IF('Earnings Sheet'!H36="","",'Earnings Sheet'!H36)</f>
        <v/>
      </c>
      <c r="H117" s="1029"/>
      <c r="I117" s="127" t="str">
        <f>IF('Earnings Sheet'!J36="","",'Earnings Sheet'!J36)</f>
        <v/>
      </c>
    </row>
    <row r="118" spans="1:9">
      <c r="A118" s="187">
        <v>12</v>
      </c>
      <c r="B118" s="1026">
        <f>IF('Earnings Sheet'!D37="","",'Earnings Sheet'!D37)</f>
        <v>0</v>
      </c>
      <c r="C118" s="1026"/>
      <c r="D118" s="1027" t="str">
        <f>IF('Earnings Sheet'!F37="","",'Earnings Sheet'!F37)</f>
        <v/>
      </c>
      <c r="E118" s="1027"/>
      <c r="F118" s="1027"/>
      <c r="G118" s="1028" t="str">
        <f>IF('Earnings Sheet'!H37="","",'Earnings Sheet'!H37)</f>
        <v/>
      </c>
      <c r="H118" s="1029"/>
      <c r="I118" s="127" t="str">
        <f>IF('Earnings Sheet'!J37="","",'Earnings Sheet'!J37)</f>
        <v/>
      </c>
    </row>
    <row r="119" spans="1:9">
      <c r="A119" s="187">
        <v>13</v>
      </c>
      <c r="B119" s="1026" t="str">
        <f>IF('Earnings Sheet'!D38="","",'Earnings Sheet'!D38)</f>
        <v/>
      </c>
      <c r="C119" s="1026"/>
      <c r="D119" s="1027" t="str">
        <f>IF('Earnings Sheet'!F38="","",'Earnings Sheet'!F38)</f>
        <v/>
      </c>
      <c r="E119" s="1027"/>
      <c r="F119" s="1027"/>
      <c r="G119" s="1028" t="str">
        <f>IF('Earnings Sheet'!H38="","",'Earnings Sheet'!H38)</f>
        <v/>
      </c>
      <c r="H119" s="1029"/>
      <c r="I119" s="127" t="str">
        <f>IF('Earnings Sheet'!J38="","",'Earnings Sheet'!J38)</f>
        <v/>
      </c>
    </row>
    <row r="120" spans="1:9">
      <c r="A120" s="187">
        <v>14</v>
      </c>
      <c r="B120" s="1026" t="str">
        <f>IF('Earnings Sheet'!D39="","",'Earnings Sheet'!D39)</f>
        <v/>
      </c>
      <c r="C120" s="1026"/>
      <c r="D120" s="1027" t="str">
        <f>IF('Earnings Sheet'!F39="","",'Earnings Sheet'!F39)</f>
        <v/>
      </c>
      <c r="E120" s="1027"/>
      <c r="F120" s="1027"/>
      <c r="G120" s="1028" t="str">
        <f>IF('Earnings Sheet'!H39="","",'Earnings Sheet'!H39)</f>
        <v/>
      </c>
      <c r="H120" s="1029"/>
      <c r="I120" s="127" t="str">
        <f>IF('Earnings Sheet'!J39="","",'Earnings Sheet'!J39)</f>
        <v/>
      </c>
    </row>
    <row r="121" spans="1:9">
      <c r="A121" s="187">
        <v>15</v>
      </c>
      <c r="B121" s="1026" t="str">
        <f>IF('Earnings Sheet'!D40="","",'Earnings Sheet'!D40)</f>
        <v/>
      </c>
      <c r="C121" s="1026"/>
      <c r="D121" s="1027" t="str">
        <f>IF('Earnings Sheet'!F40="","",'Earnings Sheet'!F40)</f>
        <v/>
      </c>
      <c r="E121" s="1027"/>
      <c r="F121" s="1027"/>
      <c r="G121" s="1028" t="str">
        <f>IF('Earnings Sheet'!H40="","",'Earnings Sheet'!H40)</f>
        <v/>
      </c>
      <c r="H121" s="1029"/>
      <c r="I121" s="127" t="str">
        <f>IF('Earnings Sheet'!J40="","",'Earnings Sheet'!J40)</f>
        <v/>
      </c>
    </row>
    <row r="122" spans="1:9">
      <c r="A122" s="187">
        <v>16</v>
      </c>
      <c r="B122" s="1026" t="str">
        <f>IF('Earnings Sheet'!D41="","",'Earnings Sheet'!D41)</f>
        <v/>
      </c>
      <c r="C122" s="1026"/>
      <c r="D122" s="1027" t="str">
        <f>IF('Earnings Sheet'!F41="","",'Earnings Sheet'!F41)</f>
        <v/>
      </c>
      <c r="E122" s="1027"/>
      <c r="F122" s="1027"/>
      <c r="G122" s="1028" t="str">
        <f>IF('Earnings Sheet'!H41="","",'Earnings Sheet'!H41)</f>
        <v/>
      </c>
      <c r="H122" s="1029"/>
      <c r="I122" s="127" t="str">
        <f>IF('Earnings Sheet'!J41="","",'Earnings Sheet'!J41)</f>
        <v/>
      </c>
    </row>
    <row r="123" spans="1:9">
      <c r="A123" s="187">
        <v>17</v>
      </c>
      <c r="B123" s="1026" t="str">
        <f>IF('Earnings Sheet'!D42="","",'Earnings Sheet'!D42)</f>
        <v/>
      </c>
      <c r="C123" s="1026"/>
      <c r="D123" s="1027" t="str">
        <f>IF('Earnings Sheet'!F42="","",'Earnings Sheet'!F42)</f>
        <v/>
      </c>
      <c r="E123" s="1027"/>
      <c r="F123" s="1027"/>
      <c r="G123" s="1028" t="str">
        <f>IF('Earnings Sheet'!H42="","",'Earnings Sheet'!H42)</f>
        <v/>
      </c>
      <c r="H123" s="1029"/>
      <c r="I123" s="127" t="str">
        <f>IF('Earnings Sheet'!J42="","",'Earnings Sheet'!J42)</f>
        <v/>
      </c>
    </row>
    <row r="124" spans="1:9" ht="30">
      <c r="A124" s="187" t="s">
        <v>587</v>
      </c>
      <c r="B124" s="1040">
        <f>SUM(B107:C120)</f>
        <v>0</v>
      </c>
      <c r="C124" s="1040"/>
      <c r="D124" s="958"/>
      <c r="E124" s="958"/>
      <c r="F124" s="958"/>
      <c r="G124" s="958"/>
      <c r="H124" s="958"/>
      <c r="I124" s="958"/>
    </row>
    <row r="125" spans="1:9">
      <c r="G125" s="94"/>
      <c r="H125" s="94"/>
      <c r="I125" s="95"/>
    </row>
    <row r="126" spans="1:9">
      <c r="G126" s="94"/>
      <c r="H126" s="94"/>
      <c r="I126" s="95"/>
    </row>
    <row r="127" spans="1:9">
      <c r="G127" s="94"/>
      <c r="H127" s="94"/>
      <c r="I127" s="95"/>
    </row>
    <row r="128" spans="1:9">
      <c r="G128" s="94"/>
      <c r="H128" s="94"/>
      <c r="I128" s="95"/>
    </row>
    <row r="129" spans="7:9">
      <c r="G129" s="94"/>
      <c r="H129" s="94"/>
      <c r="I129" s="95"/>
    </row>
    <row r="130" spans="7:9">
      <c r="G130" s="94"/>
      <c r="H130" s="94"/>
      <c r="I130" s="95"/>
    </row>
    <row r="131" spans="7:9">
      <c r="G131" s="94"/>
      <c r="H131" s="94"/>
      <c r="I131" s="95"/>
    </row>
    <row r="132" spans="7:9">
      <c r="G132" s="94"/>
      <c r="H132" s="94"/>
      <c r="I132" s="95"/>
    </row>
    <row r="133" spans="7:9">
      <c r="G133" s="94"/>
      <c r="H133" s="94"/>
      <c r="I133" s="95"/>
    </row>
    <row r="134" spans="7:9">
      <c r="G134" s="94"/>
      <c r="H134" s="94"/>
      <c r="I134" s="95"/>
    </row>
    <row r="135" spans="7:9">
      <c r="G135" s="94"/>
      <c r="H135" s="94"/>
      <c r="I135" s="95"/>
    </row>
    <row r="136" spans="7:9">
      <c r="G136" s="94"/>
      <c r="H136" s="94"/>
      <c r="I136" s="95"/>
    </row>
    <row r="137" spans="7:9">
      <c r="G137" s="94"/>
      <c r="H137" s="94"/>
      <c r="I137" s="95"/>
    </row>
    <row r="138" spans="7:9">
      <c r="G138" s="94"/>
      <c r="H138" s="94"/>
      <c r="I138" s="95"/>
    </row>
    <row r="139" spans="7:9">
      <c r="G139" s="94"/>
      <c r="H139" s="94"/>
      <c r="I139" s="95"/>
    </row>
    <row r="140" spans="7:9">
      <c r="G140" s="94"/>
      <c r="H140" s="94"/>
      <c r="I140" s="95"/>
    </row>
    <row r="141" spans="7:9">
      <c r="G141" s="94"/>
      <c r="H141" s="94"/>
      <c r="I141" s="95"/>
    </row>
    <row r="142" spans="7:9">
      <c r="G142" s="94"/>
      <c r="H142" s="94"/>
      <c r="I142" s="95"/>
    </row>
    <row r="143" spans="7:9">
      <c r="G143" s="94"/>
      <c r="H143" s="94"/>
      <c r="I143" s="95"/>
    </row>
    <row r="144" spans="7:9">
      <c r="G144" s="94"/>
      <c r="H144" s="94"/>
      <c r="I144" s="95"/>
    </row>
    <row r="145" spans="7:9">
      <c r="G145" s="94"/>
      <c r="H145" s="94"/>
      <c r="I145" s="95"/>
    </row>
    <row r="146" spans="7:9">
      <c r="G146" s="94"/>
      <c r="H146" s="94"/>
      <c r="I146" s="95"/>
    </row>
    <row r="147" spans="7:9">
      <c r="G147" s="94"/>
      <c r="H147" s="94"/>
      <c r="I147" s="95"/>
    </row>
    <row r="148" spans="7:9">
      <c r="G148" s="94"/>
      <c r="H148" s="94"/>
      <c r="I148" s="95"/>
    </row>
    <row r="149" spans="7:9">
      <c r="G149" s="94"/>
      <c r="H149" s="94"/>
      <c r="I149" s="95"/>
    </row>
    <row r="150" spans="7:9">
      <c r="G150" s="94"/>
      <c r="H150" s="94"/>
      <c r="I150" s="95"/>
    </row>
    <row r="151" spans="7:9">
      <c r="G151" s="94"/>
      <c r="H151" s="94"/>
      <c r="I151" s="95"/>
    </row>
    <row r="152" spans="7:9">
      <c r="G152" s="94"/>
      <c r="H152" s="94"/>
      <c r="I152" s="95"/>
    </row>
    <row r="153" spans="7:9">
      <c r="G153" s="94"/>
      <c r="H153" s="94"/>
      <c r="I153" s="95"/>
    </row>
    <row r="154" spans="7:9">
      <c r="G154" s="94"/>
      <c r="H154" s="94"/>
      <c r="I154" s="95"/>
    </row>
  </sheetData>
  <sheetProtection password="F2F3" sheet="1" objects="1" scenarios="1" formatCells="0" formatColumns="0" formatRows="0"/>
  <mergeCells count="206">
    <mergeCell ref="G116:H116"/>
    <mergeCell ref="B118:C118"/>
    <mergeCell ref="D118:F118"/>
    <mergeCell ref="G118:H118"/>
    <mergeCell ref="B117:C117"/>
    <mergeCell ref="D117:F117"/>
    <mergeCell ref="G117:H117"/>
    <mergeCell ref="B116:C116"/>
    <mergeCell ref="D116:F116"/>
    <mergeCell ref="B124:C124"/>
    <mergeCell ref="D124:I124"/>
    <mergeCell ref="B119:C119"/>
    <mergeCell ref="D119:F119"/>
    <mergeCell ref="G119:H119"/>
    <mergeCell ref="B120:C120"/>
    <mergeCell ref="D120:F120"/>
    <mergeCell ref="G120:H120"/>
    <mergeCell ref="B121:C121"/>
    <mergeCell ref="D121:F121"/>
    <mergeCell ref="B123:C123"/>
    <mergeCell ref="D123:F123"/>
    <mergeCell ref="G123:H123"/>
    <mergeCell ref="G121:H121"/>
    <mergeCell ref="B122:C122"/>
    <mergeCell ref="D122:F122"/>
    <mergeCell ref="G122:H122"/>
    <mergeCell ref="G113:H113"/>
    <mergeCell ref="B114:C114"/>
    <mergeCell ref="D114:F114"/>
    <mergeCell ref="G114:H114"/>
    <mergeCell ref="B115:C115"/>
    <mergeCell ref="D115:F115"/>
    <mergeCell ref="G115:H115"/>
    <mergeCell ref="B112:C112"/>
    <mergeCell ref="D112:F112"/>
    <mergeCell ref="G112:H112"/>
    <mergeCell ref="B113:C113"/>
    <mergeCell ref="D113:F113"/>
    <mergeCell ref="B105:C106"/>
    <mergeCell ref="D109:F109"/>
    <mergeCell ref="G109:H109"/>
    <mergeCell ref="B109:C109"/>
    <mergeCell ref="B108:C108"/>
    <mergeCell ref="D105:I105"/>
    <mergeCell ref="D106:F106"/>
    <mergeCell ref="G106:H106"/>
    <mergeCell ref="H100:I100"/>
    <mergeCell ref="A103:I103"/>
    <mergeCell ref="B100:C100"/>
    <mergeCell ref="F100:G100"/>
    <mergeCell ref="A102:I102"/>
    <mergeCell ref="B71:F71"/>
    <mergeCell ref="C72:F72"/>
    <mergeCell ref="C76:F76"/>
    <mergeCell ref="A93:I93"/>
    <mergeCell ref="B85:F85"/>
    <mergeCell ref="C73:F73"/>
    <mergeCell ref="C74:F74"/>
    <mergeCell ref="B111:C111"/>
    <mergeCell ref="D111:F111"/>
    <mergeCell ref="G111:H111"/>
    <mergeCell ref="B107:C107"/>
    <mergeCell ref="D107:F107"/>
    <mergeCell ref="G107:H107"/>
    <mergeCell ref="G108:H108"/>
    <mergeCell ref="D108:F108"/>
    <mergeCell ref="B110:C110"/>
    <mergeCell ref="D110:F110"/>
    <mergeCell ref="F97:I97"/>
    <mergeCell ref="B99:C99"/>
    <mergeCell ref="F99:G99"/>
    <mergeCell ref="H99:I99"/>
    <mergeCell ref="G110:H110"/>
    <mergeCell ref="A104:I104"/>
    <mergeCell ref="A105:A106"/>
    <mergeCell ref="B88:F88"/>
    <mergeCell ref="B89:F89"/>
    <mergeCell ref="B90:F90"/>
    <mergeCell ref="B91:F91"/>
    <mergeCell ref="B92:F92"/>
    <mergeCell ref="B87:F87"/>
    <mergeCell ref="A94:I94"/>
    <mergeCell ref="F95:I96"/>
    <mergeCell ref="C75:F75"/>
    <mergeCell ref="C79:F79"/>
    <mergeCell ref="C80:F80"/>
    <mergeCell ref="C81:F81"/>
    <mergeCell ref="B86:F86"/>
    <mergeCell ref="B82:F82"/>
    <mergeCell ref="B83:F83"/>
    <mergeCell ref="B84:F84"/>
    <mergeCell ref="C77:F77"/>
    <mergeCell ref="C78:F78"/>
    <mergeCell ref="B54:F54"/>
    <mergeCell ref="B55:F55"/>
    <mergeCell ref="B56:F56"/>
    <mergeCell ref="B46:F46"/>
    <mergeCell ref="B47:F47"/>
    <mergeCell ref="B48:F48"/>
    <mergeCell ref="B49:F49"/>
    <mergeCell ref="B50:F50"/>
    <mergeCell ref="B53:F53"/>
    <mergeCell ref="B51:F51"/>
    <mergeCell ref="B52:F52"/>
    <mergeCell ref="B57:F57"/>
    <mergeCell ref="B58:F58"/>
    <mergeCell ref="B59:F59"/>
    <mergeCell ref="B60:F60"/>
    <mergeCell ref="B68:F68"/>
    <mergeCell ref="B70:F70"/>
    <mergeCell ref="B69:F69"/>
    <mergeCell ref="B67:F67"/>
    <mergeCell ref="B61:F61"/>
    <mergeCell ref="B62:F62"/>
    <mergeCell ref="B63:F63"/>
    <mergeCell ref="B64:F64"/>
    <mergeCell ref="B65:F65"/>
    <mergeCell ref="B66:F66"/>
    <mergeCell ref="B31:D31"/>
    <mergeCell ref="E31:F31"/>
    <mergeCell ref="B45:F45"/>
    <mergeCell ref="B37:F37"/>
    <mergeCell ref="B38:F38"/>
    <mergeCell ref="B43:D43"/>
    <mergeCell ref="E43:F43"/>
    <mergeCell ref="B44:D44"/>
    <mergeCell ref="E44:F44"/>
    <mergeCell ref="B42:D42"/>
    <mergeCell ref="B35:F35"/>
    <mergeCell ref="A13:B13"/>
    <mergeCell ref="C13:E13"/>
    <mergeCell ref="F13:G13"/>
    <mergeCell ref="C15:E15"/>
    <mergeCell ref="F15:G15"/>
    <mergeCell ref="B27:D27"/>
    <mergeCell ref="E32:F32"/>
    <mergeCell ref="E28:F28"/>
    <mergeCell ref="B40:F40"/>
    <mergeCell ref="A40:A45"/>
    <mergeCell ref="E42:F42"/>
    <mergeCell ref="B33:D33"/>
    <mergeCell ref="E33:F33"/>
    <mergeCell ref="B34:D34"/>
    <mergeCell ref="B30:D30"/>
    <mergeCell ref="E30:F30"/>
    <mergeCell ref="B32:D32"/>
    <mergeCell ref="B41:D41"/>
    <mergeCell ref="E41:F41"/>
    <mergeCell ref="E34:F34"/>
    <mergeCell ref="B36:F36"/>
    <mergeCell ref="B29:D29"/>
    <mergeCell ref="E29:F29"/>
    <mergeCell ref="B39:F39"/>
    <mergeCell ref="H17:I17"/>
    <mergeCell ref="H18:I18"/>
    <mergeCell ref="A19:I19"/>
    <mergeCell ref="A20:I20"/>
    <mergeCell ref="B28:D28"/>
    <mergeCell ref="B21:F21"/>
    <mergeCell ref="B22:F22"/>
    <mergeCell ref="B23:F23"/>
    <mergeCell ref="B24:F24"/>
    <mergeCell ref="B25:F25"/>
    <mergeCell ref="A17:B17"/>
    <mergeCell ref="C17:E17"/>
    <mergeCell ref="F17:G17"/>
    <mergeCell ref="A26:A27"/>
    <mergeCell ref="B26:F26"/>
    <mergeCell ref="A18:B18"/>
    <mergeCell ref="C18:E18"/>
    <mergeCell ref="F18:G18"/>
    <mergeCell ref="E27:F27"/>
    <mergeCell ref="H15:I15"/>
    <mergeCell ref="A16:B16"/>
    <mergeCell ref="C16:E16"/>
    <mergeCell ref="F16:G16"/>
    <mergeCell ref="H16:I16"/>
    <mergeCell ref="A14:B14"/>
    <mergeCell ref="C14:E14"/>
    <mergeCell ref="F14:G14"/>
    <mergeCell ref="H14:I14"/>
    <mergeCell ref="A15:B15"/>
    <mergeCell ref="H13:I13"/>
    <mergeCell ref="D7:F7"/>
    <mergeCell ref="G7:I7"/>
    <mergeCell ref="A1:B1"/>
    <mergeCell ref="C1:I1"/>
    <mergeCell ref="A2:I2"/>
    <mergeCell ref="A3:E3"/>
    <mergeCell ref="F3:I3"/>
    <mergeCell ref="A4:E4"/>
    <mergeCell ref="F4:I4"/>
    <mergeCell ref="A12:I12"/>
    <mergeCell ref="A8:C8"/>
    <mergeCell ref="D8:F8"/>
    <mergeCell ref="G8:I8"/>
    <mergeCell ref="B11:C11"/>
    <mergeCell ref="F11:G11"/>
    <mergeCell ref="A5:E5"/>
    <mergeCell ref="F5:I5"/>
    <mergeCell ref="A9:E9"/>
    <mergeCell ref="F9:G10"/>
    <mergeCell ref="H9:I9"/>
    <mergeCell ref="B10:E10"/>
    <mergeCell ref="A6:E6"/>
    <mergeCell ref="A7:C7"/>
  </mergeCells>
  <printOptions horizontalCentered="1"/>
  <pageMargins left="0.7" right="0.7" top="0.75" bottom="0.5" header="0.3" footer="0.3"/>
  <pageSetup paperSize="9" scale="94" orientation="portrait" r:id="rId1"/>
  <headerFooter>
    <oddHeader>&amp;C&amp;P</oddHeader>
    <oddFooter>&amp;L&amp;8Created By O.D.Kamalakannan</oddFooter>
  </headerFooter>
  <rowBreaks count="2" manualBreakCount="2">
    <brk id="46" max="16383" man="1"/>
    <brk id="92" max="16383" man="1"/>
  </rowBreaks>
</worksheet>
</file>

<file path=xl/worksheets/sheet11.xml><?xml version="1.0" encoding="utf-8"?>
<worksheet xmlns="http://schemas.openxmlformats.org/spreadsheetml/2006/main" xmlns:r="http://schemas.openxmlformats.org/officeDocument/2006/relationships">
  <sheetPr codeName="Sheet8" enableFormatConditionsCalculation="0">
    <tabColor indexed="53"/>
  </sheetPr>
  <dimension ref="A1:I51"/>
  <sheetViews>
    <sheetView workbookViewId="0">
      <selection activeCell="D35" sqref="D35:E35"/>
    </sheetView>
  </sheetViews>
  <sheetFormatPr defaultRowHeight="15.75"/>
  <cols>
    <col min="1" max="1" width="5.42578125" style="194" customWidth="1"/>
    <col min="2" max="2" width="16.5703125" style="20" bestFit="1" customWidth="1"/>
    <col min="3" max="3" width="9.140625" style="20"/>
    <col min="4" max="4" width="13.42578125" style="20" customWidth="1"/>
    <col min="5" max="16384" width="9.140625" style="20"/>
  </cols>
  <sheetData>
    <row r="1" spans="1:9" ht="16.5">
      <c r="A1" s="1053" t="s">
        <v>142</v>
      </c>
      <c r="B1" s="1053"/>
      <c r="C1" s="1053"/>
      <c r="D1" s="1053"/>
      <c r="E1" s="1053"/>
      <c r="F1" s="1053"/>
      <c r="G1" s="1053"/>
      <c r="H1" s="1053"/>
      <c r="I1" s="1053"/>
    </row>
    <row r="2" spans="1:9" ht="16.5">
      <c r="A2" s="1053" t="s">
        <v>143</v>
      </c>
      <c r="B2" s="1053"/>
      <c r="C2" s="1053"/>
      <c r="D2" s="1053"/>
      <c r="E2" s="1053"/>
      <c r="F2" s="1053"/>
      <c r="G2" s="1053"/>
      <c r="H2" s="1053"/>
      <c r="I2" s="1053"/>
    </row>
    <row r="3" spans="1:9" ht="7.5" customHeight="1"/>
    <row r="4" spans="1:9" ht="16.5" customHeight="1">
      <c r="A4" s="1054" t="s">
        <v>144</v>
      </c>
      <c r="B4" s="1054"/>
      <c r="C4" s="1054"/>
      <c r="D4" s="1054"/>
      <c r="E4" s="1054"/>
      <c r="F4" s="1054"/>
      <c r="G4" s="1054"/>
      <c r="H4" s="1054"/>
      <c r="I4" s="1054"/>
    </row>
    <row r="5" spans="1:9" ht="16.5" customHeight="1">
      <c r="A5" s="1054"/>
      <c r="B5" s="1054"/>
      <c r="C5" s="1054"/>
      <c r="D5" s="1054"/>
      <c r="E5" s="1054"/>
      <c r="F5" s="1054"/>
      <c r="G5" s="1054"/>
      <c r="H5" s="1054"/>
      <c r="I5" s="1054"/>
    </row>
    <row r="6" spans="1:9" ht="6.75" customHeight="1"/>
    <row r="7" spans="1:9" s="22" customFormat="1" ht="31.5" customHeight="1">
      <c r="A7" s="234" t="s">
        <v>875</v>
      </c>
      <c r="B7" s="1056" t="s">
        <v>876</v>
      </c>
      <c r="C7" s="1056"/>
      <c r="D7" s="1056"/>
      <c r="E7" s="1055" t="str">
        <f>'Data Sheet'!A1</f>
        <v>UNION BANK OF INDIA</v>
      </c>
      <c r="F7" s="1055"/>
      <c r="G7" s="1055"/>
      <c r="H7" s="1055"/>
      <c r="I7" s="1055"/>
    </row>
    <row r="8" spans="1:9" s="22" customFormat="1">
      <c r="A8" s="234" t="s">
        <v>877</v>
      </c>
      <c r="B8" s="1056" t="s">
        <v>135</v>
      </c>
      <c r="C8" s="1056"/>
      <c r="D8" s="1056"/>
      <c r="E8" s="1057" t="str">
        <f>IF('Data Sheet'!F22="","", 'Data Sheet'!F22)</f>
        <v/>
      </c>
      <c r="F8" s="1057"/>
      <c r="G8" s="1057"/>
      <c r="H8" s="1057"/>
      <c r="I8" s="1057"/>
    </row>
    <row r="9" spans="1:9" s="22" customFormat="1" ht="35.25" customHeight="1">
      <c r="A9" s="234" t="s">
        <v>879</v>
      </c>
      <c r="B9" s="1056" t="s">
        <v>878</v>
      </c>
      <c r="C9" s="1056"/>
      <c r="D9" s="1056"/>
      <c r="E9" s="1059" t="str">
        <f>IF('Data Sheet'!I17="","",'Form 16 Revised'!B10 &amp; "   " &amp; 'Form 16 Revised'!B11 &amp; "   "  &amp; 'Form 16 Revised'!E11)</f>
        <v/>
      </c>
      <c r="F9" s="1059"/>
      <c r="G9" s="1059"/>
      <c r="H9" s="1059"/>
      <c r="I9" s="1059"/>
    </row>
    <row r="10" spans="1:9" s="22" customFormat="1">
      <c r="A10" s="1060" t="s">
        <v>880</v>
      </c>
      <c r="B10" s="1056" t="s">
        <v>9</v>
      </c>
      <c r="C10" s="1056"/>
      <c r="D10" s="1056"/>
      <c r="E10" s="1057" t="str">
        <f>IF('Data Sheet'!F7="","",'Data Sheet'!F7)</f>
        <v/>
      </c>
      <c r="F10" s="1057"/>
      <c r="G10" s="1057"/>
      <c r="H10" s="1057"/>
      <c r="I10" s="1057"/>
    </row>
    <row r="11" spans="1:9" s="22" customFormat="1">
      <c r="A11" s="1060"/>
      <c r="B11" s="1056" t="s">
        <v>881</v>
      </c>
      <c r="C11" s="1056"/>
      <c r="D11" s="1056"/>
      <c r="E11" s="1057" t="str">
        <f>IF('Data Sheet'!F9="","",'Data Sheet'!F9)</f>
        <v/>
      </c>
      <c r="F11" s="1057"/>
      <c r="G11" s="1057"/>
      <c r="H11" s="1057"/>
      <c r="I11" s="1057"/>
    </row>
    <row r="12" spans="1:9" s="22" customFormat="1">
      <c r="A12" s="1060"/>
      <c r="B12" s="1056" t="s">
        <v>882</v>
      </c>
      <c r="C12" s="1056"/>
      <c r="D12" s="1056"/>
      <c r="E12" s="1057" t="str">
        <f>IF('Data Sheet'!F21="","",'Data Sheet'!F21)</f>
        <v/>
      </c>
      <c r="F12" s="1057"/>
      <c r="G12" s="1057"/>
      <c r="H12" s="1057"/>
      <c r="I12" s="1057"/>
    </row>
    <row r="13" spans="1:9" s="22" customFormat="1" ht="46.5" customHeight="1">
      <c r="A13" s="234" t="s">
        <v>883</v>
      </c>
      <c r="B13" s="1062" t="s">
        <v>884</v>
      </c>
      <c r="C13" s="1062"/>
      <c r="D13" s="1062"/>
      <c r="E13" s="1057" t="s">
        <v>123</v>
      </c>
      <c r="F13" s="1057"/>
      <c r="G13" s="1057"/>
      <c r="H13" s="1057"/>
      <c r="I13" s="1057"/>
    </row>
    <row r="14" spans="1:9" s="22" customFormat="1" ht="32.25" customHeight="1">
      <c r="A14" s="234" t="s">
        <v>885</v>
      </c>
      <c r="B14" s="1065" t="s">
        <v>886</v>
      </c>
      <c r="C14" s="1065"/>
      <c r="D14" s="1065"/>
      <c r="E14" s="1063">
        <f>'Form 16 Revised'!G22</f>
        <v>0</v>
      </c>
      <c r="F14" s="1055"/>
      <c r="G14" s="1055"/>
      <c r="H14" s="1055"/>
      <c r="I14" s="1055"/>
    </row>
    <row r="15" spans="1:9" s="22" customFormat="1" ht="32.25" customHeight="1">
      <c r="A15" s="234" t="s">
        <v>887</v>
      </c>
      <c r="B15" s="1065" t="s">
        <v>6</v>
      </c>
      <c r="C15" s="1065"/>
      <c r="D15" s="1065"/>
      <c r="E15" s="1066" t="str">
        <f>'Data Sheet'!F24</f>
        <v>2020-2021</v>
      </c>
      <c r="F15" s="1066"/>
      <c r="G15" s="1066"/>
      <c r="H15" s="1066"/>
      <c r="I15" s="1066"/>
    </row>
    <row r="16" spans="1:9" s="22" customFormat="1">
      <c r="A16" s="234" t="s">
        <v>888</v>
      </c>
      <c r="B16" s="1060" t="s">
        <v>889</v>
      </c>
      <c r="C16" s="1060"/>
      <c r="D16" s="1060"/>
      <c r="E16" s="1055"/>
      <c r="F16" s="1055"/>
      <c r="G16" s="1055"/>
      <c r="H16" s="1055"/>
      <c r="I16" s="1055"/>
    </row>
    <row r="17" spans="1:9" ht="7.5" customHeight="1"/>
    <row r="18" spans="1:9" s="237" customFormat="1" ht="42.75" customHeight="1">
      <c r="A18" s="236" t="s">
        <v>89</v>
      </c>
      <c r="B18" s="1061" t="s">
        <v>145</v>
      </c>
      <c r="C18" s="1061"/>
      <c r="D18" s="1061" t="s">
        <v>146</v>
      </c>
      <c r="E18" s="1061"/>
      <c r="F18" s="1061" t="s">
        <v>890</v>
      </c>
      <c r="G18" s="1061"/>
      <c r="H18" s="1061" t="s">
        <v>891</v>
      </c>
      <c r="I18" s="1061"/>
    </row>
    <row r="19" spans="1:9" s="24" customFormat="1">
      <c r="A19" s="23">
        <v>1</v>
      </c>
      <c r="B19" s="1052" t="s">
        <v>147</v>
      </c>
      <c r="C19" s="1052"/>
      <c r="D19" s="1051">
        <f>'Perks Sheet'!E45</f>
        <v>0</v>
      </c>
      <c r="E19" s="1051"/>
      <c r="F19" s="1051">
        <f>'Earnings Sheet'!T18+'Earnings Sheet'!U18</f>
        <v>0</v>
      </c>
      <c r="G19" s="1051"/>
      <c r="H19" s="1051">
        <f>IF(D19=0,0,IF(D19&lt;&gt;0,(D19-F19)))</f>
        <v>0</v>
      </c>
      <c r="I19" s="1051"/>
    </row>
    <row r="20" spans="1:9" s="24" customFormat="1">
      <c r="A20" s="23">
        <v>2</v>
      </c>
      <c r="B20" s="1052" t="s">
        <v>892</v>
      </c>
      <c r="C20" s="1052"/>
      <c r="D20" s="1051">
        <f>'Perks Sheet'!H83</f>
        <v>0</v>
      </c>
      <c r="E20" s="1051"/>
      <c r="F20" s="1051">
        <f>0</f>
        <v>0</v>
      </c>
      <c r="G20" s="1051"/>
      <c r="H20" s="1051">
        <f t="shared" ref="H20:H34" si="0">D20-F20</f>
        <v>0</v>
      </c>
      <c r="I20" s="1051"/>
    </row>
    <row r="21" spans="1:9" s="24" customFormat="1" ht="27" customHeight="1">
      <c r="A21" s="23">
        <v>3</v>
      </c>
      <c r="B21" s="1058" t="s">
        <v>148</v>
      </c>
      <c r="C21" s="1058"/>
      <c r="D21" s="1051">
        <v>0</v>
      </c>
      <c r="E21" s="1051"/>
      <c r="F21" s="1051">
        <v>0</v>
      </c>
      <c r="G21" s="1051"/>
      <c r="H21" s="1051">
        <f t="shared" si="0"/>
        <v>0</v>
      </c>
      <c r="I21" s="1051"/>
    </row>
    <row r="22" spans="1:9" s="24" customFormat="1">
      <c r="A22" s="23">
        <v>4</v>
      </c>
      <c r="B22" s="1052" t="s">
        <v>149</v>
      </c>
      <c r="C22" s="1052"/>
      <c r="D22" s="1051">
        <v>0</v>
      </c>
      <c r="E22" s="1051"/>
      <c r="F22" s="1051">
        <v>0</v>
      </c>
      <c r="G22" s="1051"/>
      <c r="H22" s="1051">
        <f t="shared" si="0"/>
        <v>0</v>
      </c>
      <c r="I22" s="1051"/>
    </row>
    <row r="23" spans="1:9" s="24" customFormat="1">
      <c r="A23" s="23">
        <v>5</v>
      </c>
      <c r="B23" s="1058" t="s">
        <v>150</v>
      </c>
      <c r="C23" s="1058"/>
      <c r="D23" s="1051">
        <f>'Perks Sheet'!H88</f>
        <v>0</v>
      </c>
      <c r="E23" s="1051"/>
      <c r="F23" s="1051">
        <v>0</v>
      </c>
      <c r="G23" s="1051"/>
      <c r="H23" s="1051">
        <f>D23-F23</f>
        <v>0</v>
      </c>
      <c r="I23" s="1051"/>
    </row>
    <row r="24" spans="1:9" s="24" customFormat="1">
      <c r="A24" s="23">
        <v>6</v>
      </c>
      <c r="B24" s="1052" t="s">
        <v>151</v>
      </c>
      <c r="C24" s="1052"/>
      <c r="D24" s="1051">
        <f>'Perks Sheet'!H99</f>
        <v>0</v>
      </c>
      <c r="E24" s="1051"/>
      <c r="F24" s="1051">
        <v>0</v>
      </c>
      <c r="G24" s="1051"/>
      <c r="H24" s="1051">
        <f t="shared" si="0"/>
        <v>0</v>
      </c>
      <c r="I24" s="1051"/>
    </row>
    <row r="25" spans="1:9" s="24" customFormat="1">
      <c r="A25" s="23">
        <v>7</v>
      </c>
      <c r="B25" s="1052" t="s">
        <v>152</v>
      </c>
      <c r="C25" s="1052"/>
      <c r="D25" s="1051">
        <v>0</v>
      </c>
      <c r="E25" s="1051"/>
      <c r="F25" s="1051">
        <v>0</v>
      </c>
      <c r="G25" s="1051"/>
      <c r="H25" s="1051">
        <f t="shared" si="0"/>
        <v>0</v>
      </c>
      <c r="I25" s="1051"/>
    </row>
    <row r="26" spans="1:9" s="24" customFormat="1">
      <c r="A26" s="23">
        <v>8</v>
      </c>
      <c r="B26" s="1052" t="s">
        <v>153</v>
      </c>
      <c r="C26" s="1052"/>
      <c r="D26" s="1051">
        <f>'Perks Sheet'!H101</f>
        <v>0</v>
      </c>
      <c r="E26" s="1051"/>
      <c r="F26" s="1051">
        <v>0</v>
      </c>
      <c r="G26" s="1051"/>
      <c r="H26" s="1051">
        <f t="shared" si="0"/>
        <v>0</v>
      </c>
      <c r="I26" s="1051"/>
    </row>
    <row r="27" spans="1:9" s="24" customFormat="1">
      <c r="A27" s="23">
        <v>9</v>
      </c>
      <c r="B27" s="1052" t="s">
        <v>154</v>
      </c>
      <c r="C27" s="1052"/>
      <c r="D27" s="1051">
        <f>'Perks Sheet'!H111</f>
        <v>0</v>
      </c>
      <c r="E27" s="1051"/>
      <c r="F27" s="1051">
        <v>0</v>
      </c>
      <c r="G27" s="1051"/>
      <c r="H27" s="1051">
        <f t="shared" si="0"/>
        <v>0</v>
      </c>
      <c r="I27" s="1051"/>
    </row>
    <row r="28" spans="1:9" s="24" customFormat="1">
      <c r="A28" s="23">
        <v>10</v>
      </c>
      <c r="B28" s="1052" t="s">
        <v>155</v>
      </c>
      <c r="C28" s="1052"/>
      <c r="D28" s="1051">
        <v>0</v>
      </c>
      <c r="E28" s="1051"/>
      <c r="F28" s="1051">
        <v>0</v>
      </c>
      <c r="G28" s="1051"/>
      <c r="H28" s="1051">
        <f t="shared" si="0"/>
        <v>0</v>
      </c>
      <c r="I28" s="1051"/>
    </row>
    <row r="29" spans="1:9" s="24" customFormat="1">
      <c r="A29" s="23">
        <v>11</v>
      </c>
      <c r="B29" s="1052" t="s">
        <v>156</v>
      </c>
      <c r="C29" s="1052"/>
      <c r="D29" s="1051">
        <f>'Perks Sheet'!H103</f>
        <v>0</v>
      </c>
      <c r="E29" s="1051"/>
      <c r="F29" s="1051">
        <v>0</v>
      </c>
      <c r="G29" s="1051"/>
      <c r="H29" s="1051">
        <f t="shared" si="0"/>
        <v>0</v>
      </c>
      <c r="I29" s="1051"/>
    </row>
    <row r="30" spans="1:9" s="24" customFormat="1" ht="17.25" customHeight="1">
      <c r="A30" s="23">
        <v>12</v>
      </c>
      <c r="B30" s="1052" t="s">
        <v>157</v>
      </c>
      <c r="C30" s="1052"/>
      <c r="D30" s="1051">
        <f>'Perks Sheet'!H105</f>
        <v>0</v>
      </c>
      <c r="E30" s="1051"/>
      <c r="F30" s="1051">
        <v>0</v>
      </c>
      <c r="G30" s="1051"/>
      <c r="H30" s="1051">
        <f t="shared" si="0"/>
        <v>0</v>
      </c>
      <c r="I30" s="1051"/>
    </row>
    <row r="31" spans="1:9" s="24" customFormat="1" ht="25.5" customHeight="1">
      <c r="A31" s="23">
        <v>13</v>
      </c>
      <c r="B31" s="1058" t="s">
        <v>158</v>
      </c>
      <c r="C31" s="1058"/>
      <c r="D31" s="1051">
        <v>0</v>
      </c>
      <c r="E31" s="1051"/>
      <c r="F31" s="1051">
        <v>0</v>
      </c>
      <c r="G31" s="1051"/>
      <c r="H31" s="1051">
        <f t="shared" si="0"/>
        <v>0</v>
      </c>
      <c r="I31" s="1051"/>
    </row>
    <row r="32" spans="1:9" s="24" customFormat="1">
      <c r="A32" s="23">
        <v>14</v>
      </c>
      <c r="B32" s="1052" t="s">
        <v>159</v>
      </c>
      <c r="C32" s="1052"/>
      <c r="D32" s="1051">
        <v>0</v>
      </c>
      <c r="E32" s="1051"/>
      <c r="F32" s="1051">
        <v>0</v>
      </c>
      <c r="G32" s="1051"/>
      <c r="H32" s="1051">
        <f t="shared" si="0"/>
        <v>0</v>
      </c>
      <c r="I32" s="1051"/>
    </row>
    <row r="33" spans="1:9" s="24" customFormat="1">
      <c r="A33" s="23">
        <v>15</v>
      </c>
      <c r="B33" s="1052" t="s">
        <v>160</v>
      </c>
      <c r="C33" s="1052"/>
      <c r="D33" s="1051">
        <v>0</v>
      </c>
      <c r="E33" s="1051"/>
      <c r="F33" s="1051">
        <v>0</v>
      </c>
      <c r="G33" s="1051"/>
      <c r="H33" s="1051">
        <f t="shared" si="0"/>
        <v>0</v>
      </c>
      <c r="I33" s="1051"/>
    </row>
    <row r="34" spans="1:9" s="24" customFormat="1">
      <c r="A34" s="23">
        <v>16</v>
      </c>
      <c r="B34" s="1068" t="s">
        <v>962</v>
      </c>
      <c r="C34" s="1068"/>
      <c r="D34" s="1051">
        <f>'Perks Sheet'!H109+'Perks Sheet'!H107</f>
        <v>0</v>
      </c>
      <c r="E34" s="1051"/>
      <c r="F34" s="1051">
        <v>0</v>
      </c>
      <c r="G34" s="1051"/>
      <c r="H34" s="1051">
        <f t="shared" si="0"/>
        <v>0</v>
      </c>
      <c r="I34" s="1051"/>
    </row>
    <row r="35" spans="1:9" s="25" customFormat="1" ht="16.5">
      <c r="A35" s="23">
        <v>17</v>
      </c>
      <c r="B35" s="1067" t="s">
        <v>161</v>
      </c>
      <c r="C35" s="1067"/>
      <c r="D35" s="1050">
        <f>SUM(D19:E34)</f>
        <v>0</v>
      </c>
      <c r="E35" s="1050"/>
      <c r="F35" s="1050">
        <f>SUM(F19:G34)</f>
        <v>0</v>
      </c>
      <c r="G35" s="1050"/>
      <c r="H35" s="1050">
        <f>SUM(H19:I34)</f>
        <v>0</v>
      </c>
      <c r="I35" s="1050"/>
    </row>
    <row r="36" spans="1:9" ht="26.25" customHeight="1">
      <c r="A36" s="23">
        <v>18</v>
      </c>
      <c r="B36" s="1052" t="s">
        <v>893</v>
      </c>
      <c r="C36" s="1052"/>
      <c r="D36" s="1051">
        <v>0</v>
      </c>
      <c r="E36" s="1051"/>
      <c r="F36" s="1051">
        <v>0</v>
      </c>
      <c r="G36" s="1051"/>
      <c r="H36" s="1051">
        <v>0</v>
      </c>
      <c r="I36" s="1051"/>
    </row>
    <row r="37" spans="1:9" ht="9.75" customHeight="1">
      <c r="A37" s="238"/>
      <c r="B37" s="239"/>
      <c r="C37" s="239"/>
      <c r="D37" s="240"/>
      <c r="E37" s="240"/>
      <c r="F37" s="240"/>
      <c r="G37" s="240"/>
      <c r="H37" s="240"/>
      <c r="I37" s="240"/>
    </row>
    <row r="38" spans="1:9" ht="27" customHeight="1">
      <c r="A38" s="238" t="s">
        <v>894</v>
      </c>
      <c r="B38" s="1064" t="s">
        <v>895</v>
      </c>
      <c r="C38" s="1064"/>
      <c r="D38" s="1064"/>
      <c r="E38" s="1047">
        <f>'Computation Sheet'!H121</f>
        <v>0</v>
      </c>
      <c r="F38" s="1047"/>
      <c r="G38" s="1047"/>
      <c r="H38" s="1047"/>
      <c r="I38" s="1047"/>
    </row>
    <row r="39" spans="1:9" ht="27" customHeight="1">
      <c r="A39" s="238" t="s">
        <v>896</v>
      </c>
      <c r="B39" s="1064" t="s">
        <v>897</v>
      </c>
      <c r="C39" s="1064"/>
      <c r="D39" s="1064"/>
      <c r="E39" s="1047">
        <v>0</v>
      </c>
      <c r="F39" s="1047"/>
      <c r="G39" s="1047"/>
      <c r="H39" s="1047"/>
      <c r="I39" s="1047"/>
    </row>
    <row r="40" spans="1:9">
      <c r="A40" s="238" t="s">
        <v>898</v>
      </c>
      <c r="B40" s="1046" t="s">
        <v>899</v>
      </c>
      <c r="C40" s="1046"/>
      <c r="D40" s="1046"/>
      <c r="E40" s="1047">
        <f>E38+E39</f>
        <v>0</v>
      </c>
      <c r="F40" s="1047"/>
      <c r="G40" s="1047"/>
      <c r="H40" s="1047"/>
      <c r="I40" s="1047"/>
    </row>
    <row r="41" spans="1:9">
      <c r="A41" s="238" t="s">
        <v>900</v>
      </c>
      <c r="B41" s="1046" t="s">
        <v>901</v>
      </c>
      <c r="C41" s="1046"/>
      <c r="D41" s="1046"/>
      <c r="E41" s="1048" t="s">
        <v>902</v>
      </c>
      <c r="F41" s="1048"/>
      <c r="G41" s="1048"/>
      <c r="H41" s="1048"/>
      <c r="I41" s="1048"/>
    </row>
    <row r="42" spans="1:9">
      <c r="A42" s="1049" t="s">
        <v>162</v>
      </c>
      <c r="B42" s="1049"/>
      <c r="C42" s="1049"/>
      <c r="D42" s="1049"/>
      <c r="E42" s="1049"/>
      <c r="F42" s="1049"/>
      <c r="G42" s="1049"/>
      <c r="H42" s="1049"/>
      <c r="I42" s="1049"/>
    </row>
    <row r="43" spans="1:9">
      <c r="A43" s="1045" t="str">
        <f>"I,  " &amp; 'Data Sheet'!F164 &amp; "." &amp; 'Data Sheet'!G164 &amp; "  working as " &amp; 'Data Sheet'!F167&amp; " hereby declare on behalf of Union Bank of India that the information given above is based on the books of accounts, documents and other relevant records or information" &amp; "available with us and the details of value of each such perquisite are in accordance with Sec 17 and rules framed thereunder and that such information is true and correct."</f>
        <v>I,  Shri.  working as  hereby declare on behalf of Union Bank of India that the information given above is based on the books of accounts, documents and other relevant records or informationavailable with us and the details of value of each such perquisite are in accordance with Sec 17 and rules framed thereunder and that such information is true and correct.</v>
      </c>
      <c r="B43" s="1045"/>
      <c r="C43" s="1045"/>
      <c r="D43" s="1045"/>
      <c r="E43" s="1045"/>
      <c r="F43" s="1045"/>
      <c r="G43" s="1045"/>
      <c r="H43" s="1045"/>
      <c r="I43" s="1045"/>
    </row>
    <row r="44" spans="1:9">
      <c r="A44" s="1045"/>
      <c r="B44" s="1045"/>
      <c r="C44" s="1045"/>
      <c r="D44" s="1045"/>
      <c r="E44" s="1045"/>
      <c r="F44" s="1045"/>
      <c r="G44" s="1045"/>
      <c r="H44" s="1045"/>
      <c r="I44" s="1045"/>
    </row>
    <row r="45" spans="1:9">
      <c r="A45" s="1045"/>
      <c r="B45" s="1045"/>
      <c r="C45" s="1045"/>
      <c r="D45" s="1045"/>
      <c r="E45" s="1045"/>
      <c r="F45" s="1045"/>
      <c r="G45" s="1045"/>
      <c r="H45" s="1045"/>
      <c r="I45" s="1045"/>
    </row>
    <row r="46" spans="1:9" ht="7.5" customHeight="1">
      <c r="A46" s="1045"/>
      <c r="B46" s="1045"/>
      <c r="C46" s="1045"/>
      <c r="D46" s="1045"/>
      <c r="E46" s="1045"/>
      <c r="F46" s="1045"/>
      <c r="G46" s="1045"/>
      <c r="H46" s="1045"/>
      <c r="I46" s="1045"/>
    </row>
    <row r="47" spans="1:9" ht="18.75" customHeight="1">
      <c r="A47" s="235"/>
      <c r="B47" s="235"/>
      <c r="C47" s="235"/>
      <c r="D47" s="235"/>
      <c r="E47" s="235"/>
      <c r="F47" s="235"/>
      <c r="G47" s="235"/>
      <c r="H47" s="235"/>
      <c r="I47" s="235"/>
    </row>
    <row r="48" spans="1:9">
      <c r="E48" s="1044" t="s">
        <v>140</v>
      </c>
      <c r="F48" s="1044"/>
      <c r="G48" s="1044"/>
      <c r="H48" s="1044"/>
      <c r="I48" s="1044"/>
    </row>
    <row r="49" spans="1:9">
      <c r="E49" s="1044"/>
      <c r="F49" s="1044"/>
      <c r="G49" s="1044"/>
      <c r="H49" s="1044"/>
      <c r="I49" s="1044"/>
    </row>
    <row r="50" spans="1:9" s="2" customFormat="1" ht="15">
      <c r="A50" s="7" t="s">
        <v>165</v>
      </c>
      <c r="B50" s="7">
        <f>'Data Sheet'!F171</f>
        <v>0</v>
      </c>
      <c r="E50" s="1041" t="s">
        <v>163</v>
      </c>
      <c r="F50" s="1041"/>
      <c r="G50" s="1042" t="str">
        <f>'Data Sheet'!F164 &amp; "." &amp; 'Data Sheet'!G164:I164</f>
        <v>Shri.</v>
      </c>
      <c r="H50" s="1043"/>
      <c r="I50" s="1043"/>
    </row>
    <row r="51" spans="1:9" s="2" customFormat="1" ht="15">
      <c r="A51" s="7" t="s">
        <v>166</v>
      </c>
      <c r="B51" s="241">
        <f>'Data Sheet'!F170</f>
        <v>0</v>
      </c>
      <c r="E51" s="1041" t="s">
        <v>164</v>
      </c>
      <c r="F51" s="1041"/>
      <c r="G51" s="1042" t="str">
        <f>IF('Data Sheet'!F167="","",IF('Data Sheet'!F167&lt;&gt;"",'Data Sheet'!F167))</f>
        <v/>
      </c>
      <c r="H51" s="1042"/>
      <c r="I51" s="1042"/>
    </row>
  </sheetData>
  <sheetProtection password="F2F3" sheet="1" objects="1" scenarios="1" formatCells="0" formatColumns="0" formatRows="0"/>
  <customSheetViews>
    <customSheetView guid="{BC7AD179-3218-4244-A3F6-4056F6A573C9}">
      <selection activeCell="A33" sqref="A33:I38"/>
      <pageMargins left="0.74803149606299213" right="0.74803149606299213" top="0.59055118110236227" bottom="0.59055118110236227" header="0.51181102362204722" footer="0.51181102362204722"/>
      <pageSetup paperSize="5" orientation="portrait" verticalDpi="300" r:id="rId1"/>
      <headerFooter alignWithMargins="0"/>
    </customSheetView>
  </customSheetViews>
  <mergeCells count="115">
    <mergeCell ref="B39:D39"/>
    <mergeCell ref="E38:I38"/>
    <mergeCell ref="E39:I39"/>
    <mergeCell ref="B38:D38"/>
    <mergeCell ref="B31:C31"/>
    <mergeCell ref="B14:D14"/>
    <mergeCell ref="B15:D15"/>
    <mergeCell ref="E15:I15"/>
    <mergeCell ref="B26:C26"/>
    <mergeCell ref="H26:I26"/>
    <mergeCell ref="H27:I27"/>
    <mergeCell ref="H24:I24"/>
    <mergeCell ref="D27:E27"/>
    <mergeCell ref="F28:G28"/>
    <mergeCell ref="H28:I28"/>
    <mergeCell ref="D26:E26"/>
    <mergeCell ref="D25:E25"/>
    <mergeCell ref="H21:I21"/>
    <mergeCell ref="F27:G27"/>
    <mergeCell ref="D22:E22"/>
    <mergeCell ref="B35:C35"/>
    <mergeCell ref="B36:C36"/>
    <mergeCell ref="B33:C33"/>
    <mergeCell ref="B34:C34"/>
    <mergeCell ref="E9:I9"/>
    <mergeCell ref="B9:D9"/>
    <mergeCell ref="B10:D10"/>
    <mergeCell ref="B11:D11"/>
    <mergeCell ref="E10:I10"/>
    <mergeCell ref="E11:I11"/>
    <mergeCell ref="A10:A12"/>
    <mergeCell ref="B16:D16"/>
    <mergeCell ref="F19:G19"/>
    <mergeCell ref="H19:I19"/>
    <mergeCell ref="F18:G18"/>
    <mergeCell ref="H18:I18"/>
    <mergeCell ref="D18:E18"/>
    <mergeCell ref="D19:E19"/>
    <mergeCell ref="B12:D12"/>
    <mergeCell ref="B13:D13"/>
    <mergeCell ref="E12:I12"/>
    <mergeCell ref="E13:I13"/>
    <mergeCell ref="E14:I14"/>
    <mergeCell ref="E16:I16"/>
    <mergeCell ref="B18:C18"/>
    <mergeCell ref="A1:I1"/>
    <mergeCell ref="A2:I2"/>
    <mergeCell ref="A4:I5"/>
    <mergeCell ref="E7:I7"/>
    <mergeCell ref="B8:D8"/>
    <mergeCell ref="B7:D7"/>
    <mergeCell ref="E8:I8"/>
    <mergeCell ref="B24:C24"/>
    <mergeCell ref="B25:C25"/>
    <mergeCell ref="H20:I20"/>
    <mergeCell ref="F23:G23"/>
    <mergeCell ref="H23:I23"/>
    <mergeCell ref="F24:G24"/>
    <mergeCell ref="F21:G21"/>
    <mergeCell ref="H25:I25"/>
    <mergeCell ref="F20:G20"/>
    <mergeCell ref="D21:E21"/>
    <mergeCell ref="B20:C20"/>
    <mergeCell ref="B19:C19"/>
    <mergeCell ref="B22:C22"/>
    <mergeCell ref="B21:C21"/>
    <mergeCell ref="B23:C23"/>
    <mergeCell ref="D23:E23"/>
    <mergeCell ref="D20:E20"/>
    <mergeCell ref="B27:C27"/>
    <mergeCell ref="H32:I32"/>
    <mergeCell ref="D34:E34"/>
    <mergeCell ref="F34:G34"/>
    <mergeCell ref="H34:I34"/>
    <mergeCell ref="H31:I31"/>
    <mergeCell ref="B28:C28"/>
    <mergeCell ref="F31:G31"/>
    <mergeCell ref="F33:G33"/>
    <mergeCell ref="B32:C32"/>
    <mergeCell ref="B29:C29"/>
    <mergeCell ref="B30:C30"/>
    <mergeCell ref="D29:E29"/>
    <mergeCell ref="D30:E30"/>
    <mergeCell ref="F30:G30"/>
    <mergeCell ref="H30:I30"/>
    <mergeCell ref="F32:G32"/>
    <mergeCell ref="D28:E28"/>
    <mergeCell ref="D31:E31"/>
    <mergeCell ref="D32:E32"/>
    <mergeCell ref="F29:G29"/>
    <mergeCell ref="H29:I29"/>
    <mergeCell ref="F35:G35"/>
    <mergeCell ref="D36:E36"/>
    <mergeCell ref="F36:G36"/>
    <mergeCell ref="H36:I36"/>
    <mergeCell ref="H35:I35"/>
    <mergeCell ref="F25:G25"/>
    <mergeCell ref="H33:I33"/>
    <mergeCell ref="D33:E33"/>
    <mergeCell ref="F22:G22"/>
    <mergeCell ref="H22:I22"/>
    <mergeCell ref="F26:G26"/>
    <mergeCell ref="D24:E24"/>
    <mergeCell ref="D35:E35"/>
    <mergeCell ref="E50:F50"/>
    <mergeCell ref="E51:F51"/>
    <mergeCell ref="G50:I50"/>
    <mergeCell ref="G51:I51"/>
    <mergeCell ref="E48:I49"/>
    <mergeCell ref="A43:I46"/>
    <mergeCell ref="B40:D40"/>
    <mergeCell ref="B41:D41"/>
    <mergeCell ref="E40:I40"/>
    <mergeCell ref="E41:I41"/>
    <mergeCell ref="A42:I42"/>
  </mergeCells>
  <phoneticPr fontId="0" type="noConversion"/>
  <dataValidations count="2">
    <dataValidation type="decimal" operator="equal" allowBlank="1" showInputMessage="1" showErrorMessage="1" errorTitle="INADMISSIBLE PERKS" error="Sweeper, Gardener, Watchman or personal attendant not provided. Hence value =0" promptTitle="INADMISSIBLE PERQUISITE" prompt="Sweeper, Gardener, Watchman or personal attendant not provided. Hence value =0" sqref="D21:E22">
      <formula1>0</formula1>
    </dataValidation>
    <dataValidation type="decimal" operator="equal" allowBlank="1" showInputMessage="1" showErrorMessage="1" errorTitle="INADMISSIBLE PERKS" error="FREE / CONCESSIONAL TRAVEL NOT PRESENT. VALUE =0 " promptTitle="INADMISSIBLE PERKS" prompt="FREE OR CONCESSIONAL TRAVEL NOT GIVEN. VALUE -0" sqref="D25:E25">
      <formula1>0</formula1>
    </dataValidation>
  </dataValidations>
  <printOptions horizontalCentered="1" verticalCentered="1"/>
  <pageMargins left="0.74803149606299202" right="0.74803149606299202" top="0.59055118110236204" bottom="0.59055118110236204" header="0.511811023622047" footer="0.511811023622047"/>
  <pageSetup paperSize="9" scale="80" orientation="portrait" verticalDpi="300" r:id="rId2"/>
  <headerFooter alignWithMargins="0"/>
</worksheet>
</file>

<file path=xl/worksheets/sheet12.xml><?xml version="1.0" encoding="utf-8"?>
<worksheet xmlns="http://schemas.openxmlformats.org/spreadsheetml/2006/main" xmlns:r="http://schemas.openxmlformats.org/officeDocument/2006/relationships">
  <sheetPr codeName="Sheet5" enableFormatConditionsCalculation="0">
    <tabColor indexed="43"/>
  </sheetPr>
  <dimension ref="A1:S113"/>
  <sheetViews>
    <sheetView topLeftCell="A70" workbookViewId="0">
      <selection activeCell="A84" sqref="A84:I87"/>
    </sheetView>
  </sheetViews>
  <sheetFormatPr defaultRowHeight="13.5"/>
  <cols>
    <col min="1" max="3" width="9.140625" style="2"/>
    <col min="4" max="4" width="13.140625" style="2" bestFit="1" customWidth="1"/>
    <col min="5" max="9" width="9.140625" style="2"/>
    <col min="10" max="11" width="6.5703125" style="2" hidden="1" customWidth="1"/>
    <col min="12" max="12" width="11.5703125" style="2" hidden="1" customWidth="1"/>
    <col min="13" max="13" width="10.7109375" style="2" hidden="1" customWidth="1"/>
    <col min="14" max="19" width="9.140625" style="2" hidden="1" customWidth="1"/>
    <col min="20" max="16384" width="9.140625" style="2"/>
  </cols>
  <sheetData>
    <row r="1" spans="1:19" ht="15">
      <c r="A1" s="1042" t="str">
        <f>'Earnings Sheet'!C1</f>
        <v>UNION BANK OF INDIA</v>
      </c>
      <c r="B1" s="1042"/>
      <c r="C1" s="1042"/>
      <c r="D1" s="1042"/>
      <c r="E1" s="1042"/>
      <c r="F1" s="1042"/>
      <c r="G1" s="1042"/>
      <c r="H1" s="1042"/>
      <c r="I1" s="1042"/>
      <c r="J1" s="1043" t="s">
        <v>843</v>
      </c>
      <c r="K1" s="1043"/>
      <c r="L1" s="1043"/>
      <c r="M1" s="1043"/>
      <c r="N1" s="1043"/>
      <c r="O1" s="1043"/>
      <c r="P1" s="1043"/>
      <c r="Q1" s="1043"/>
      <c r="R1" s="1043"/>
      <c r="S1" s="1043"/>
    </row>
    <row r="2" spans="1:19" ht="15">
      <c r="A2" s="1042">
        <f>'Data Sheet'!F14</f>
        <v>0</v>
      </c>
      <c r="B2" s="1042"/>
      <c r="C2" s="1042"/>
      <c r="D2" s="1042"/>
      <c r="E2" s="1042"/>
      <c r="F2" s="1042"/>
      <c r="G2" s="1042"/>
      <c r="H2" s="1042"/>
      <c r="I2" s="1042"/>
      <c r="J2" s="1109" t="s">
        <v>844</v>
      </c>
      <c r="K2" s="1109"/>
      <c r="L2" s="1109"/>
      <c r="M2" s="1109"/>
      <c r="N2" s="1109"/>
      <c r="O2" s="1109"/>
    </row>
    <row r="3" spans="1:19" ht="15">
      <c r="A3" s="1042" t="s">
        <v>46</v>
      </c>
      <c r="B3" s="1042"/>
      <c r="C3" s="1042"/>
      <c r="D3" s="1042"/>
      <c r="E3" s="1042"/>
      <c r="F3" s="1042"/>
      <c r="G3" s="1042"/>
      <c r="H3" s="1042"/>
      <c r="I3" s="1042"/>
      <c r="J3" s="136" t="s">
        <v>10</v>
      </c>
      <c r="K3" s="136" t="s">
        <v>847</v>
      </c>
      <c r="L3" s="136" t="s">
        <v>49</v>
      </c>
      <c r="M3" s="136" t="s">
        <v>13</v>
      </c>
      <c r="N3" s="136" t="s">
        <v>845</v>
      </c>
      <c r="O3" s="136" t="s">
        <v>846</v>
      </c>
    </row>
    <row r="4" spans="1:19" ht="15">
      <c r="J4" s="131">
        <f>'Earnings Sheet'!C5</f>
        <v>43922</v>
      </c>
      <c r="K4" s="132">
        <f>IF(AND('Data Sheet'!$H$51&gt;='Earnings Sheet'!$A$5,'Earnings Sheet'!$H$49&lt;='Earnings Sheet'!B5,'Data Sheet'!$I$51&gt;='Earnings Sheet'!B5),IF(('Earnings Sheet'!B5-'Data Sheet'!$H$51)+1&lt;0,0,('Earnings Sheet'!B5-'Data Sheet'!$H$51)+1),0)</f>
        <v>30</v>
      </c>
      <c r="L4" s="133">
        <f>IF(AND('Data Sheet'!$H$51&gt;='Earnings Sheet'!$A$5,'Data Sheet'!$H$51&lt;'Earnings Sheet'!B5),'Earnings Sheet'!Q5*K4/K4,0)</f>
        <v>0</v>
      </c>
      <c r="M4" s="133">
        <f>IF(AND('Data Sheet'!$H$51&gt;='Earnings Sheet'!$A$5,'Data Sheet'!$H$51&lt;'Earnings Sheet'!B5),'Earnings Sheet'!G5*K4/K4,0)</f>
        <v>0</v>
      </c>
      <c r="N4" s="133">
        <f>IF(AND('Data Sheet'!$H$51&gt;='Earnings Sheet'!$A$5,'Data Sheet'!$H$51&lt;'Earnings Sheet'!B5),'Earnings Sheet'!T5*K4/30,0)</f>
        <v>0</v>
      </c>
      <c r="O4" s="133">
        <f>IF(AND('Data Sheet'!$H$51&gt;='Earnings Sheet'!$A$5,'Data Sheet'!$H$51&lt;'Earnings Sheet'!B5),'Earnings Sheet'!U5*K4/30,0)</f>
        <v>0</v>
      </c>
    </row>
    <row r="5" spans="1:19" ht="15">
      <c r="A5" s="1089" t="s">
        <v>47</v>
      </c>
      <c r="B5" s="1089"/>
      <c r="C5" s="1089"/>
      <c r="D5" s="1089"/>
      <c r="E5" s="1089"/>
      <c r="F5" s="1089"/>
      <c r="G5" s="1089"/>
      <c r="H5" s="1089"/>
      <c r="I5" s="1089"/>
      <c r="J5" s="131">
        <f>'Earnings Sheet'!C6</f>
        <v>43952</v>
      </c>
      <c r="K5" s="132">
        <f>IF(AND('Data Sheet'!$H$51&gt;='Earnings Sheet'!$A$5,'Earnings Sheet'!$H$49&lt;='Earnings Sheet'!B6,'Data Sheet'!$I$51&gt;='Earnings Sheet'!B6),IF(('Earnings Sheet'!B6-'Data Sheet'!$H$51)+1&lt;0,0,(('Earnings Sheet'!B6-'Data Sheet'!$H$51)+1)-SUM($K$4:K4)),0)</f>
        <v>31</v>
      </c>
      <c r="L5" s="133">
        <f>IF(AND('Data Sheet'!$H$51&gt;='Earnings Sheet'!$A$5,'Data Sheet'!$H$51&lt;'Earnings Sheet'!B6),'Earnings Sheet'!Q6*K5/K5,0)</f>
        <v>0</v>
      </c>
      <c r="M5" s="133">
        <f>IF(AND('Data Sheet'!$H$51&gt;='Earnings Sheet'!$A$5,'Data Sheet'!$H$51&lt;'Earnings Sheet'!B6),'Earnings Sheet'!G6*K5/K5,0)</f>
        <v>0</v>
      </c>
      <c r="N5" s="133">
        <f>IF(AND('Data Sheet'!$H$51&gt;='Earnings Sheet'!$A$5,'Data Sheet'!$H$51&lt;'Earnings Sheet'!B6),'Earnings Sheet'!T6*K5/31,0)</f>
        <v>0</v>
      </c>
      <c r="O5" s="133">
        <f>IF(AND('Data Sheet'!$H$51&gt;='Earnings Sheet'!$A$5,'Data Sheet'!$H$51&lt;'Earnings Sheet'!B6),'Earnings Sheet'!U6*K5/31,0)</f>
        <v>0</v>
      </c>
    </row>
    <row r="6" spans="1:19" ht="15">
      <c r="A6" s="3"/>
      <c r="B6" s="3"/>
      <c r="C6" s="3"/>
      <c r="D6" s="3"/>
      <c r="E6" s="3"/>
      <c r="F6" s="3"/>
      <c r="G6" s="3"/>
      <c r="H6" s="3"/>
      <c r="I6" s="3"/>
      <c r="J6" s="131">
        <f>'Earnings Sheet'!C7</f>
        <v>43983</v>
      </c>
      <c r="K6" s="132">
        <f>IF(AND('Data Sheet'!$H$51&gt;='Earnings Sheet'!$A$5,'Earnings Sheet'!$H$49&lt;='Earnings Sheet'!B7,'Data Sheet'!$I$51&gt;='Earnings Sheet'!B7),IF(('Earnings Sheet'!B7-'Data Sheet'!$H$51)+1&lt;0,0,(('Earnings Sheet'!B7-'Data Sheet'!$H$51)+1)-SUM($K$4:K5)),0)</f>
        <v>30</v>
      </c>
      <c r="L6" s="133">
        <f>IF(AND('Data Sheet'!$H$51&gt;='Earnings Sheet'!$A$5,'Data Sheet'!$H$51&lt;'Earnings Sheet'!B7),'Earnings Sheet'!Q7*K6/K6,0)</f>
        <v>0</v>
      </c>
      <c r="M6" s="133">
        <f>IF(AND('Data Sheet'!$H$51&gt;='Earnings Sheet'!$A$5,'Data Sheet'!$H$51&lt;'Earnings Sheet'!B7),'Earnings Sheet'!G7*K6/K6,0)</f>
        <v>0</v>
      </c>
      <c r="N6" s="133">
        <f>IF(AND('Data Sheet'!$H$51&gt;='Earnings Sheet'!$A$5,'Data Sheet'!$H$51&lt;'Earnings Sheet'!B7),'Earnings Sheet'!T7*K6/30,0)</f>
        <v>0</v>
      </c>
      <c r="O6" s="133">
        <f>IF(AND('Data Sheet'!$H$51&gt;='Earnings Sheet'!$A$5,'Data Sheet'!$H$51&lt;'Earnings Sheet'!B7),'Earnings Sheet'!U7*K6/30,0)</f>
        <v>0</v>
      </c>
    </row>
    <row r="7" spans="1:19" ht="15.75">
      <c r="A7" s="1041" t="s">
        <v>1</v>
      </c>
      <c r="B7" s="1105"/>
      <c r="C7" s="1106">
        <f>'Data Sheet'!F7</f>
        <v>0</v>
      </c>
      <c r="D7" s="1106"/>
      <c r="E7" s="1106"/>
      <c r="F7" s="1041" t="s">
        <v>6</v>
      </c>
      <c r="G7" s="1105"/>
      <c r="H7" s="1107" t="str">
        <f>'Data Sheet'!F24</f>
        <v>2020-2021</v>
      </c>
      <c r="I7" s="1107"/>
      <c r="J7" s="131">
        <f>'Earnings Sheet'!C8</f>
        <v>44013</v>
      </c>
      <c r="K7" s="132">
        <f>IF(AND('Data Sheet'!$H$51&gt;='Earnings Sheet'!$A$5,'Earnings Sheet'!$H$49&lt;='Earnings Sheet'!B8,'Data Sheet'!$I$51&gt;='Earnings Sheet'!B8),IF(('Earnings Sheet'!B8-'Data Sheet'!$H$51)+1&lt;0,0,(('Earnings Sheet'!B8-'Data Sheet'!$H$51)+1)-SUM($K$4:K6)),0)</f>
        <v>31</v>
      </c>
      <c r="L7" s="133">
        <f>IF(AND('Data Sheet'!$H$51&gt;='Earnings Sheet'!$A$5,'Data Sheet'!$H$51&lt;'Earnings Sheet'!B8),'Earnings Sheet'!Q8*K7/K7,0)</f>
        <v>0</v>
      </c>
      <c r="M7" s="133">
        <f>IF(AND('Data Sheet'!$H$51&gt;='Earnings Sheet'!$A$5,'Data Sheet'!$H$51&lt;'Earnings Sheet'!B8),'Earnings Sheet'!G8*K7/K7,0)</f>
        <v>0</v>
      </c>
      <c r="N7" s="133">
        <f>IF(AND('Data Sheet'!$H$51&gt;='Earnings Sheet'!$A$5,'Data Sheet'!$H$51&lt;'Earnings Sheet'!B8),'Earnings Sheet'!T8*K7/31,0)</f>
        <v>0</v>
      </c>
      <c r="O7" s="133">
        <f>IF(AND('Data Sheet'!$H$51&gt;='Earnings Sheet'!$A$5,'Data Sheet'!$H$51&lt;'Earnings Sheet'!B8),'Earnings Sheet'!U8*K7/31,0)</f>
        <v>0</v>
      </c>
    </row>
    <row r="8" spans="1:19" ht="15.75">
      <c r="A8" s="1041" t="s">
        <v>3</v>
      </c>
      <c r="B8" s="1105"/>
      <c r="C8" s="1107">
        <f>'Data Sheet'!F9</f>
        <v>0</v>
      </c>
      <c r="D8" s="1107"/>
      <c r="E8" s="1107"/>
      <c r="F8" s="1041" t="s">
        <v>48</v>
      </c>
      <c r="G8" s="1041"/>
      <c r="H8" s="1106">
        <f>'Data Sheet'!F21</f>
        <v>0</v>
      </c>
      <c r="I8" s="1106"/>
      <c r="J8" s="131">
        <f>'Earnings Sheet'!C9</f>
        <v>44044</v>
      </c>
      <c r="K8" s="132">
        <f>IF(AND('Data Sheet'!$H$51&gt;='Earnings Sheet'!$A$5,'Earnings Sheet'!$H$49&lt;='Earnings Sheet'!B9,'Data Sheet'!$I$51&gt;='Earnings Sheet'!B9),IF(('Earnings Sheet'!B9-'Data Sheet'!$H$51)+1&lt;0,0,(('Earnings Sheet'!B9-'Data Sheet'!$H$51)+1)-SUM($K$4:K7)),0)</f>
        <v>31</v>
      </c>
      <c r="L8" s="133">
        <f>IF(AND('Data Sheet'!$H$51&gt;='Earnings Sheet'!$A$5,'Data Sheet'!$H$51&lt;'Earnings Sheet'!B9),'Earnings Sheet'!Q9*K8/K8,0)</f>
        <v>0</v>
      </c>
      <c r="M8" s="133">
        <f>IF(AND('Data Sheet'!$H$51&gt;='Earnings Sheet'!$A$5,'Data Sheet'!$H$51&lt;'Earnings Sheet'!B9),'Earnings Sheet'!G9*K8/K8,0)</f>
        <v>0</v>
      </c>
      <c r="N8" s="133">
        <f>IF(AND('Data Sheet'!$H$51&gt;='Earnings Sheet'!$A$5,'Data Sheet'!$H$51&lt;'Earnings Sheet'!B9),'Earnings Sheet'!T9*K8/31,0)</f>
        <v>0</v>
      </c>
      <c r="O8" s="133">
        <f>IF(AND('Data Sheet'!$H$51&gt;='Earnings Sheet'!$A$5,'Data Sheet'!$H$51&lt;'Earnings Sheet'!B9),'Earnings Sheet'!U9*K8/31,0)</f>
        <v>0</v>
      </c>
    </row>
    <row r="9" spans="1:19" ht="15.75">
      <c r="A9" s="1041" t="s">
        <v>7</v>
      </c>
      <c r="B9" s="1105"/>
      <c r="C9" s="1107" t="str">
        <f>'Data Sheet'!F25</f>
        <v>2021-2022</v>
      </c>
      <c r="D9" s="1107"/>
      <c r="E9" s="1107"/>
      <c r="F9" s="3"/>
      <c r="G9" s="3"/>
      <c r="H9" s="3"/>
      <c r="I9" s="3"/>
      <c r="J9" s="131">
        <f>'Earnings Sheet'!C10</f>
        <v>44075</v>
      </c>
      <c r="K9" s="132">
        <f>IF(AND('Data Sheet'!$H$51&gt;='Earnings Sheet'!$A$5,'Earnings Sheet'!$H$49&lt;='Earnings Sheet'!B10,'Data Sheet'!$I$51&gt;='Earnings Sheet'!B10),IF(('Earnings Sheet'!B10-'Data Sheet'!$H$51)+1&lt;0,0,(('Earnings Sheet'!B10-'Data Sheet'!$H$51)+1)-SUM($K$4:K8)),0)</f>
        <v>30</v>
      </c>
      <c r="L9" s="133">
        <f>IF(AND('Data Sheet'!$H$51&gt;='Earnings Sheet'!$A$5,'Data Sheet'!$H$51&lt;'Earnings Sheet'!B10),'Earnings Sheet'!Q10*K9/K9,0)</f>
        <v>0</v>
      </c>
      <c r="M9" s="133">
        <f>IF(AND('Data Sheet'!$H$51&gt;='Earnings Sheet'!$A$5,'Data Sheet'!$H$51&lt;'Earnings Sheet'!B10),'Earnings Sheet'!G10*K9/K9,0)</f>
        <v>0</v>
      </c>
      <c r="N9" s="133">
        <f>IF(AND('Data Sheet'!$H$51&gt;='Earnings Sheet'!$A$5,'Data Sheet'!$H$51&lt;'Earnings Sheet'!B10),'Earnings Sheet'!T10*K9/30,0)</f>
        <v>0</v>
      </c>
      <c r="O9" s="133">
        <f>IF(AND('Data Sheet'!$H$51&gt;='Earnings Sheet'!$A$5,'Data Sheet'!$H$51&lt;'Earnings Sheet'!B10),'Earnings Sheet'!U10*K9/30,0)</f>
        <v>0</v>
      </c>
    </row>
    <row r="10" spans="1:19" ht="15">
      <c r="J10" s="131">
        <f>'Earnings Sheet'!C11</f>
        <v>44105</v>
      </c>
      <c r="K10" s="132">
        <f>IF(AND('Data Sheet'!$H$51&gt;='Earnings Sheet'!$A$5,'Earnings Sheet'!$H$49&lt;='Earnings Sheet'!B11,'Data Sheet'!$I$51&gt;='Earnings Sheet'!B11),IF(('Earnings Sheet'!B11-'Data Sheet'!$H$51)+1&lt;0,0,(('Earnings Sheet'!B11-'Data Sheet'!$H$51)+1)-SUM($K$4:K9)),0)</f>
        <v>31</v>
      </c>
      <c r="L10" s="133">
        <f>IF(AND('Data Sheet'!$H$51&gt;='Earnings Sheet'!$A$5,'Data Sheet'!$H$51&lt;'Earnings Sheet'!B11),'Earnings Sheet'!Q11*K10/K10,0)</f>
        <v>0</v>
      </c>
      <c r="M10" s="133">
        <f>IF(AND('Data Sheet'!$H$51&gt;='Earnings Sheet'!$A$5,'Data Sheet'!$H$51&lt;'Earnings Sheet'!B11),'Earnings Sheet'!G11*K10/K10,0)</f>
        <v>0</v>
      </c>
      <c r="N10" s="133">
        <f>IF(AND('Data Sheet'!$H$51&gt;='Earnings Sheet'!$A$5,'Data Sheet'!$H$51&lt;'Earnings Sheet'!B11),'Earnings Sheet'!T11*K10/31,0)</f>
        <v>0</v>
      </c>
      <c r="O10" s="133">
        <f>IF(AND('Data Sheet'!$H$51&gt;='Earnings Sheet'!$A$5,'Data Sheet'!$H$51&lt;'Earnings Sheet'!B11),'Earnings Sheet'!U11*K10/31,0)</f>
        <v>0</v>
      </c>
    </row>
    <row r="11" spans="1:19" ht="15">
      <c r="A11" s="1105" t="s">
        <v>470</v>
      </c>
      <c r="B11" s="1105"/>
      <c r="C11" s="1105"/>
      <c r="D11" s="1105"/>
      <c r="E11" s="1105"/>
      <c r="F11" s="1105"/>
      <c r="G11" s="1105"/>
      <c r="H11" s="1105"/>
      <c r="I11" s="1105"/>
      <c r="J11" s="131">
        <f>'Earnings Sheet'!C12</f>
        <v>44136</v>
      </c>
      <c r="K11" s="132">
        <f>IF(AND('Data Sheet'!$H$51&gt;='Earnings Sheet'!$A$5,'Earnings Sheet'!$H$49&lt;='Earnings Sheet'!B12,'Data Sheet'!$I$51&gt;='Earnings Sheet'!B12),IF(('Earnings Sheet'!B12-'Data Sheet'!$H$51)+1&lt;0,0,(('Earnings Sheet'!B12-'Data Sheet'!$H$51)+1)-SUM($K$4:K10)),0)</f>
        <v>30</v>
      </c>
      <c r="L11" s="133">
        <f>IF(AND('Data Sheet'!$H$51&gt;='Earnings Sheet'!$A$5,'Data Sheet'!$H$51&lt;'Earnings Sheet'!B12),'Earnings Sheet'!Q12*K11/K11,0)</f>
        <v>0</v>
      </c>
      <c r="M11" s="133">
        <f>IF(AND('Data Sheet'!$H$51&gt;='Earnings Sheet'!$A$5,'Data Sheet'!$H$51&lt;'Earnings Sheet'!B12),'Earnings Sheet'!G12*K11/K11,0)</f>
        <v>0</v>
      </c>
      <c r="N11" s="133">
        <f>IF(AND('Data Sheet'!$H$51&gt;='Earnings Sheet'!$A$5,'Data Sheet'!$H$51&lt;'Earnings Sheet'!B12),'Earnings Sheet'!T12*K11/30,0)</f>
        <v>0</v>
      </c>
      <c r="O11" s="133">
        <f>IF(AND('Data Sheet'!$H$51&gt;='Earnings Sheet'!$A$5,'Data Sheet'!$H$51&lt;'Earnings Sheet'!B12),'Earnings Sheet'!U12*K11/30,0)</f>
        <v>0</v>
      </c>
    </row>
    <row r="12" spans="1:19" ht="15.75">
      <c r="A12" s="1041" t="s">
        <v>49</v>
      </c>
      <c r="B12" s="1041"/>
      <c r="C12" s="1041"/>
      <c r="D12" s="1041"/>
      <c r="E12" s="1078">
        <f>IF('Data Sheet'!F50="Yes",L16,IF('Data Sheet'!F50="No",0,IF('Data Sheet'!F50="","Please select Yes or No under S.No.35 of Data Sheet",IF('Data Sheet'!F50=0,"Please select Yes or No under S.No.35 of Data Sheet"))))</f>
        <v>0</v>
      </c>
      <c r="F12" s="1078"/>
      <c r="G12" s="1078"/>
      <c r="H12" s="1078"/>
      <c r="I12" s="1078"/>
      <c r="J12" s="131">
        <f>'Earnings Sheet'!C13</f>
        <v>44166</v>
      </c>
      <c r="K12" s="132">
        <f>IF(AND('Data Sheet'!$H$51&gt;='Earnings Sheet'!$A$5,'Earnings Sheet'!$H$49&lt;='Earnings Sheet'!B13,'Data Sheet'!$I$51&gt;='Earnings Sheet'!B13),IF(('Earnings Sheet'!B13-'Data Sheet'!$H$51)+1&lt;0,0,(('Earnings Sheet'!B13-'Data Sheet'!$H$51)+1)-SUM($K$4:K11)),0)</f>
        <v>31</v>
      </c>
      <c r="L12" s="133">
        <f>IF(AND('Data Sheet'!$H$51&gt;='Earnings Sheet'!$A$5,'Data Sheet'!$H$51&lt;'Earnings Sheet'!B13),'Earnings Sheet'!Q13*K12/K12,0)</f>
        <v>0</v>
      </c>
      <c r="M12" s="133">
        <f>IF(AND('Data Sheet'!$H$51&gt;='Earnings Sheet'!$A$5,'Data Sheet'!$H$51&lt;'Earnings Sheet'!B13),'Earnings Sheet'!G13*K12/K12,0)</f>
        <v>0</v>
      </c>
      <c r="N12" s="133">
        <f>IF(AND('Data Sheet'!$H$51&gt;='Earnings Sheet'!$A$5,'Data Sheet'!$H$51&lt;'Earnings Sheet'!B13),'Earnings Sheet'!T13*K12/31,0)</f>
        <v>0</v>
      </c>
      <c r="O12" s="133">
        <f>IF(AND('Data Sheet'!$H$51&gt;='Earnings Sheet'!$A$5,'Data Sheet'!$H$51&lt;'Earnings Sheet'!B13),'Earnings Sheet'!U13*K12/31,0)</f>
        <v>0</v>
      </c>
    </row>
    <row r="13" spans="1:19" ht="15">
      <c r="J13" s="131">
        <f>'Earnings Sheet'!C14</f>
        <v>44197</v>
      </c>
      <c r="K13" s="132">
        <f>IF(AND('Data Sheet'!$H$51&gt;='Earnings Sheet'!$A$5,'Earnings Sheet'!$H$49&lt;='Earnings Sheet'!B14,'Data Sheet'!$I$51&gt;='Earnings Sheet'!B14),IF(('Earnings Sheet'!B14-'Data Sheet'!$H$51)+1&lt;0,0,(('Earnings Sheet'!B14-'Data Sheet'!$H$51)+1)-SUM($K$4:K12)),0)</f>
        <v>31</v>
      </c>
      <c r="L13" s="133">
        <f>IF(AND('Data Sheet'!$H$51&gt;='Earnings Sheet'!$A$5,'Data Sheet'!$H$51&lt;'Earnings Sheet'!B14),'Earnings Sheet'!Q14*K13/K13,0)</f>
        <v>0</v>
      </c>
      <c r="M13" s="133">
        <f>IF(AND('Data Sheet'!$H$51&gt;='Earnings Sheet'!$A$5,'Data Sheet'!$H$51&lt;'Earnings Sheet'!B14),'Earnings Sheet'!G14*K13/K13,0)</f>
        <v>0</v>
      </c>
      <c r="N13" s="133">
        <f>IF(AND('Data Sheet'!$H$51&gt;='Earnings Sheet'!$A$5,'Data Sheet'!$H$51&lt;'Earnings Sheet'!B14),'Earnings Sheet'!T14*K13/31,0)</f>
        <v>0</v>
      </c>
      <c r="O13" s="133">
        <f>IF(AND('Data Sheet'!$H$51&gt;='Earnings Sheet'!$A$5,'Data Sheet'!$H$51&lt;'Earnings Sheet'!B14),'Earnings Sheet'!U14*K13/31,0)</f>
        <v>0</v>
      </c>
    </row>
    <row r="14" spans="1:19" ht="15">
      <c r="J14" s="131">
        <f>'Earnings Sheet'!C15</f>
        <v>44228</v>
      </c>
      <c r="K14" s="132">
        <f>IF(AND('Data Sheet'!$H$51&gt;='Earnings Sheet'!$A$5,'Earnings Sheet'!$H$49&lt;='Earnings Sheet'!B15,'Data Sheet'!$I$51&gt;='Earnings Sheet'!B15),IF(('Earnings Sheet'!B15-'Data Sheet'!$H$51)+1&lt;0,0,(('Earnings Sheet'!B15-'Data Sheet'!$H$51)+1)-SUM($K$4:K13)),0)</f>
        <v>28</v>
      </c>
      <c r="L14" s="133">
        <f>IF(AND('Data Sheet'!$H$51&gt;='Earnings Sheet'!$A$5,'Data Sheet'!$H$51&lt;'Earnings Sheet'!B15),'Earnings Sheet'!Q15*K14/K14,0)</f>
        <v>0</v>
      </c>
      <c r="M14" s="133">
        <f>IF(AND('Data Sheet'!$H$51&gt;='Earnings Sheet'!$A$5,'Data Sheet'!$H$51&lt;'Earnings Sheet'!B15),'Earnings Sheet'!G15*K14/K14,0)</f>
        <v>0</v>
      </c>
      <c r="N14" s="133">
        <f>IF(AND('Data Sheet'!$H$51&gt;='Earnings Sheet'!$A$5,'Data Sheet'!$H$51&lt;'Earnings Sheet'!B15),'Earnings Sheet'!T15*K14/31,0)</f>
        <v>0</v>
      </c>
      <c r="O14" s="133">
        <f>IF(AND('Data Sheet'!$H$51&gt;='Earnings Sheet'!$A$5,'Data Sheet'!$H$51&lt;'Earnings Sheet'!B15),'Earnings Sheet'!U15*K14/31,0)</f>
        <v>0</v>
      </c>
    </row>
    <row r="15" spans="1:19" ht="15.75" thickBot="1">
      <c r="J15" s="131">
        <f>'Earnings Sheet'!C16</f>
        <v>44256</v>
      </c>
      <c r="K15" s="132">
        <f>IF(AND('Data Sheet'!$H$51&gt;='Earnings Sheet'!$A$5,'Earnings Sheet'!$H$49&lt;='Earnings Sheet'!B16,'Data Sheet'!$I$51&gt;='Earnings Sheet'!B16),IF(('Earnings Sheet'!B16-'Data Sheet'!$H$51)+1&lt;0,0,(('Earnings Sheet'!B16-'Data Sheet'!$H$51)+1)-SUM($K$4:K14)),0)</f>
        <v>31</v>
      </c>
      <c r="L15" s="133">
        <f>IF(AND('Data Sheet'!$H$51&gt;='Earnings Sheet'!$A$5,'Data Sheet'!$H$51&lt;'Earnings Sheet'!B16),'Earnings Sheet'!Q16*K15/K15,0)</f>
        <v>0</v>
      </c>
      <c r="M15" s="133">
        <f>IF(AND('Data Sheet'!$H$51&gt;='Earnings Sheet'!$A$5,'Data Sheet'!$H$51&lt;'Earnings Sheet'!B16),'Earnings Sheet'!G16*K15/K15,0)</f>
        <v>0</v>
      </c>
      <c r="N15" s="133">
        <f>IF(AND('Data Sheet'!$H$51&gt;='Earnings Sheet'!$A$5,'Data Sheet'!$H$51&lt;'Earnings Sheet'!B16),'Earnings Sheet'!T16*K15/31,0)</f>
        <v>0</v>
      </c>
      <c r="O15" s="133">
        <f>IF(AND('Data Sheet'!$H$51&gt;='Earnings Sheet'!$A$5,'Data Sheet'!$H$51&lt;'Earnings Sheet'!B16),'Earnings Sheet'!U16*K15/31,0)</f>
        <v>0</v>
      </c>
    </row>
    <row r="16" spans="1:19" ht="17.25" thickTop="1" thickBot="1">
      <c r="A16" s="1041" t="str">
        <f>IF(AND('Data Sheet'!F50="Yes",'Data Sheet'!F52="&gt; 25 lakhs"),"15%(Gross Salary)",IF(AND('Data Sheet'!F50="Yes",'Data Sheet'!F52="Between 10 - 25 lakhs"),"10%(Gross Salary)",IF(AND('Data Sheet'!F50="Yes",'Data Sheet'!F52="&lt; 10 lakhs"),"7.5%(Gross Salary)",IF(AND('Data Sheet'!F50="Yes",'Data Sheet'!F52=""),"Select Population range",IF('Data Sheet'!F50="No","",IF('Data Sheet'!F50="",""))))))</f>
        <v/>
      </c>
      <c r="B16" s="1041"/>
      <c r="C16" s="1041"/>
      <c r="D16" s="1041"/>
      <c r="E16" s="1093" t="str">
        <f>IF(A16="15%(Gross Salary)",(E12)*15%,IF(A16="10%(Gross Salary)",(E12)*10%,IF(A16="7.5%(Gross Salary)",(E12)*7.5%,IF(A16="",""))))</f>
        <v/>
      </c>
      <c r="F16" s="1093"/>
      <c r="G16" s="1093"/>
      <c r="H16" s="1093"/>
      <c r="I16" s="1093"/>
      <c r="J16" s="130" t="s">
        <v>26</v>
      </c>
      <c r="K16" s="134">
        <f>SUM(K4:K15)</f>
        <v>365</v>
      </c>
      <c r="L16" s="135">
        <f>SUM(L4:L15)</f>
        <v>0</v>
      </c>
      <c r="M16" s="135">
        <f>SUM(M4:M15)</f>
        <v>0</v>
      </c>
      <c r="N16" s="135">
        <f>SUM(N4:N15)</f>
        <v>0</v>
      </c>
      <c r="O16" s="135">
        <f>SUM(O4:O15)</f>
        <v>0</v>
      </c>
    </row>
    <row r="17" spans="1:15" ht="14.25" thickTop="1"/>
    <row r="18" spans="1:15" ht="15">
      <c r="A18" s="5" t="s">
        <v>29</v>
      </c>
      <c r="B18" s="1041" t="s">
        <v>51</v>
      </c>
      <c r="C18" s="1041"/>
      <c r="E18" s="1070">
        <f>IF(AND('Data Sheet'!F50="Yes",'Data Sheet'!F62="Yes",'Data Sheet'!F63&lt;&gt;0),'Data Sheet'!F63*10%,IF(AND('Data Sheet'!F50="Yes",'Data Sheet'!F62="Yes",OR('Data Sheet'!F63=0,'Data Sheet'!F63="")),"Enter value of furniture in S.No.42 of Data Sheet",IF(OR('Data Sheet'!F50="No",'Data Sheet'!F62="No",'Data Sheet'!F62="Yes"),0)))</f>
        <v>0</v>
      </c>
      <c r="F18" s="1070"/>
      <c r="G18" s="1070"/>
      <c r="H18" s="1070"/>
      <c r="I18" s="1070"/>
    </row>
    <row r="20" spans="1:15" ht="15.75" thickBot="1">
      <c r="E20" s="1096" t="str">
        <f>IF(AND(E16&lt;&gt;"",E18&lt;&gt;""),E16+E18,IF(AND(A16="",OR(E16=0,E18=0,E16="",E18="")),"",IF(AND(A16="",E16="",E18=""),"")))</f>
        <v/>
      </c>
      <c r="F20" s="1096"/>
      <c r="G20" s="1096"/>
      <c r="H20" s="1096"/>
      <c r="I20" s="1096"/>
    </row>
    <row r="21" spans="1:15" ht="15.75" hidden="1" thickTop="1">
      <c r="A21" s="5" t="s">
        <v>52</v>
      </c>
    </row>
    <row r="22" spans="1:15" ht="14.25" hidden="1">
      <c r="B22" s="1110" t="s">
        <v>53</v>
      </c>
      <c r="C22" s="1110"/>
      <c r="D22" s="7" t="s">
        <v>54</v>
      </c>
      <c r="E22" s="1070">
        <f>IF('Data Sheet'!F50="No",0,IF('Data Sheet'!F50="Yes",N16))</f>
        <v>0</v>
      </c>
      <c r="F22" s="1070"/>
      <c r="G22" s="1070"/>
      <c r="H22" s="1070"/>
      <c r="I22" s="1070"/>
    </row>
    <row r="23" spans="1:15" ht="14.25" hidden="1">
      <c r="B23" s="6"/>
      <c r="C23" s="6"/>
      <c r="D23" s="7"/>
    </row>
    <row r="24" spans="1:15" ht="15" hidden="1" thickBot="1">
      <c r="B24" s="1110" t="s">
        <v>55</v>
      </c>
      <c r="C24" s="1110"/>
      <c r="D24" s="7" t="s">
        <v>54</v>
      </c>
      <c r="E24" s="1070">
        <f>IF('Data Sheet'!F50="No",0,IF('Data Sheet'!F50="Yes",O16))</f>
        <v>0</v>
      </c>
      <c r="F24" s="1070"/>
      <c r="G24" s="1070"/>
      <c r="H24" s="1070"/>
      <c r="I24" s="1070"/>
    </row>
    <row r="25" spans="1:15" ht="16.5" thickTop="1" thickBot="1">
      <c r="A25" s="1108" t="s">
        <v>848</v>
      </c>
      <c r="B25" s="1108"/>
      <c r="C25" s="1108"/>
      <c r="D25" s="1108"/>
      <c r="E25" s="1093">
        <f>IF('Data Sheet'!F50="Yes",('Perks Sheet'!E20), IF('Data Sheet'!F50="No",0, IF('Data Sheet'!F50="",0)))</f>
        <v>0</v>
      </c>
      <c r="F25" s="1093"/>
      <c r="G25" s="1093"/>
      <c r="H25" s="1093"/>
      <c r="I25" s="1093"/>
    </row>
    <row r="26" spans="1:15" ht="15.75" thickTop="1">
      <c r="A26" s="1108"/>
      <c r="B26" s="1108"/>
      <c r="C26" s="1108"/>
      <c r="D26" s="1108"/>
      <c r="E26" s="67"/>
      <c r="F26" s="67"/>
      <c r="G26" s="67"/>
      <c r="H26" s="67"/>
      <c r="I26" s="67"/>
    </row>
    <row r="27" spans="1:15">
      <c r="A27" s="1105" t="s">
        <v>471</v>
      </c>
      <c r="B27" s="1105"/>
      <c r="C27" s="1105"/>
      <c r="D27" s="1105"/>
      <c r="E27" s="1105"/>
      <c r="F27" s="1105"/>
      <c r="G27" s="1105"/>
      <c r="H27" s="1105"/>
      <c r="I27" s="1105"/>
      <c r="J27" s="1109" t="s">
        <v>851</v>
      </c>
      <c r="K27" s="1109"/>
      <c r="L27" s="1109"/>
      <c r="M27" s="1109"/>
      <c r="N27" s="1109"/>
      <c r="O27" s="1109"/>
    </row>
    <row r="28" spans="1:15" ht="15">
      <c r="A28" s="4"/>
      <c r="B28" s="4"/>
      <c r="C28" s="4"/>
      <c r="D28" s="4"/>
      <c r="E28" s="67"/>
      <c r="F28" s="67"/>
      <c r="G28" s="67"/>
      <c r="H28" s="67"/>
      <c r="I28" s="67"/>
      <c r="J28" s="136" t="str">
        <f t="shared" ref="J28:O28" si="0">J3</f>
        <v>Month</v>
      </c>
      <c r="K28" s="136" t="str">
        <f t="shared" si="0"/>
        <v>Days</v>
      </c>
      <c r="L28" s="136" t="str">
        <f t="shared" si="0"/>
        <v>Gross Salary</v>
      </c>
      <c r="M28" s="136" t="str">
        <f t="shared" si="0"/>
        <v>D.A</v>
      </c>
      <c r="N28" s="136" t="str">
        <f t="shared" si="0"/>
        <v>HRR</v>
      </c>
      <c r="O28" s="136" t="str">
        <f t="shared" si="0"/>
        <v>FRR</v>
      </c>
    </row>
    <row r="29" spans="1:15" ht="15.75">
      <c r="A29" s="1097" t="s">
        <v>473</v>
      </c>
      <c r="B29" s="1041"/>
      <c r="C29" s="1041"/>
      <c r="D29" s="1041"/>
      <c r="E29" s="1092">
        <f>IF(AND('Data Sheet'!F53="Yes",'Data Sheet'!F59=0),"Enter Rent in S.No.38 of Data sheet under various months",IF(AND('Data Sheet'!F53="Yes",'Data Sheet'!F59=""),"Enter Rent in S.No.38 of Data Sheet under various months",IF(AND('Data Sheet'!F53="Yes",'Data Sheet'!F59&lt;&gt;0),'Data Sheet'!F59,IF(AND('Data Sheet'!F53="Yes",'Data Sheet'!F59&lt;&gt;""),'Data Sheet'!F59,IF('Data Sheet'!F53="No",0)))))</f>
        <v>0</v>
      </c>
      <c r="F29" s="1092"/>
      <c r="G29" s="1092"/>
      <c r="H29" s="1092"/>
      <c r="I29" s="1092"/>
      <c r="J29" s="131">
        <f>J4</f>
        <v>43922</v>
      </c>
      <c r="K29" s="132">
        <f>IF(AND('Data Sheet'!$H$54&gt;='Earnings Sheet'!$A$5,'Earnings Sheet'!$H$52&lt;='Earnings Sheet'!B5,'Data Sheet'!$I$54&gt;='Earnings Sheet'!B5),IF(('Earnings Sheet'!B5-'Data Sheet'!$H$54)+1&lt;0,0,('Earnings Sheet'!B5-'Data Sheet'!$H$54)+1),0)</f>
        <v>30</v>
      </c>
      <c r="L29" s="133">
        <f>IF(AND('Data Sheet'!$H$54&gt;='Earnings Sheet'!$A$5,'Data Sheet'!$H$54&lt;'Earnings Sheet'!B5),'Earnings Sheet'!Q5*K29/K29,0)</f>
        <v>0</v>
      </c>
      <c r="M29" s="133">
        <f>IF(AND('Data Sheet'!$H$54&gt;='Earnings Sheet'!$A$5,'Data Sheet'!$H$54&lt;'Earnings Sheet'!B5),'Earnings Sheet'!G5*K29/K29,0)</f>
        <v>0</v>
      </c>
      <c r="N29" s="133">
        <f>IF(AND('Data Sheet'!$H$54&gt;='Earnings Sheet'!$A$5,'Data Sheet'!$H$54&lt;'Earnings Sheet'!B5),'Earnings Sheet'!T5*K29/30,0)</f>
        <v>0</v>
      </c>
      <c r="O29" s="133">
        <f>IF(AND('Data Sheet'!$H$54&gt;='Earnings Sheet'!$A$5,'Data Sheet'!$H$54&lt;'Earnings Sheet'!B5),'Earnings Sheet'!U5*K29/30,0)</f>
        <v>0</v>
      </c>
    </row>
    <row r="30" spans="1:15" ht="15.75">
      <c r="A30" s="1041" t="s">
        <v>49</v>
      </c>
      <c r="B30" s="1041"/>
      <c r="C30" s="1041"/>
      <c r="D30" s="1041"/>
      <c r="E30" s="1092">
        <f>IF(OR(E29=0,E29=""),0,IF(OR(E29&lt;&gt;"",E29&lt;&gt;0),L41))</f>
        <v>0</v>
      </c>
      <c r="F30" s="1092"/>
      <c r="G30" s="1092"/>
      <c r="H30" s="1092"/>
      <c r="I30" s="1092"/>
      <c r="J30" s="131">
        <f t="shared" ref="J30:J40" si="1">J5</f>
        <v>43952</v>
      </c>
      <c r="K30" s="132">
        <f>IF(AND('Data Sheet'!$H$54&gt;='Earnings Sheet'!$A$5,'Earnings Sheet'!$H$52&lt;='Earnings Sheet'!B6,'Data Sheet'!$I$54&gt;='Earnings Sheet'!B6),IF(('Earnings Sheet'!B6-'Data Sheet'!$H$54)+1&lt;0,0,(('Earnings Sheet'!B6-'Data Sheet'!$H$54)+1)-SUM($K$29:K29)),0)</f>
        <v>31</v>
      </c>
      <c r="L30" s="133">
        <f>IF(AND('Data Sheet'!$H$54&gt;='Earnings Sheet'!$A$5,'Data Sheet'!$H$54&lt;'Earnings Sheet'!B6),'Earnings Sheet'!Q6*K30/K30,0)</f>
        <v>0</v>
      </c>
      <c r="M30" s="133">
        <f>IF(AND('Data Sheet'!$H$54&gt;='Earnings Sheet'!$A$5,'Data Sheet'!$H$54&lt;'Earnings Sheet'!B6),'Earnings Sheet'!G6*K30/K30,0)</f>
        <v>0</v>
      </c>
      <c r="N30" s="133">
        <f>IF(AND('Data Sheet'!$H$54&gt;='Earnings Sheet'!$A$5,'Data Sheet'!$H$54&lt;'Earnings Sheet'!B6),'Earnings Sheet'!T6*K30/31,0)</f>
        <v>0</v>
      </c>
      <c r="O30" s="133">
        <f>IF(AND('Data Sheet'!$H$54&gt;='Earnings Sheet'!$A$5,'Data Sheet'!$H$54&lt;'Earnings Sheet'!B6),'Earnings Sheet'!U6*K30/31,0)</f>
        <v>0</v>
      </c>
    </row>
    <row r="31" spans="1:15" ht="15.75">
      <c r="A31" s="315"/>
      <c r="B31" s="315"/>
      <c r="C31" s="315"/>
      <c r="D31" s="315"/>
      <c r="E31" s="316"/>
      <c r="F31" s="316"/>
      <c r="G31" s="316"/>
      <c r="H31" s="316"/>
      <c r="I31" s="316"/>
      <c r="J31" s="131">
        <f t="shared" si="1"/>
        <v>43983</v>
      </c>
      <c r="K31" s="132">
        <f>IF(AND('Data Sheet'!$H$54&gt;='Earnings Sheet'!$A$5,'Earnings Sheet'!$H$52&lt;='Earnings Sheet'!B7,'Data Sheet'!$I$54&gt;='Earnings Sheet'!B7),IF(('Earnings Sheet'!B7-'Data Sheet'!$H$54)+1&lt;0,0,(('Earnings Sheet'!B7-'Data Sheet'!$H$54)+1)-SUM($K$29:K30)),0)</f>
        <v>30</v>
      </c>
      <c r="L31" s="133">
        <f>IF(AND('Data Sheet'!$H$54&gt;='Earnings Sheet'!$A$5,'Data Sheet'!$H$54&lt;'Earnings Sheet'!B7),'Earnings Sheet'!Q7*K31/K31,0)</f>
        <v>0</v>
      </c>
      <c r="M31" s="133">
        <f>IF(AND('Data Sheet'!$H$54&gt;='Earnings Sheet'!$A$5,'Data Sheet'!$H$54&lt;'Earnings Sheet'!B7),'Earnings Sheet'!G7*K31/K31,0)</f>
        <v>0</v>
      </c>
      <c r="N31" s="133">
        <f>IF(AND('Data Sheet'!$H$54&gt;='Earnings Sheet'!$A$5,'Data Sheet'!$H$54&lt;'Earnings Sheet'!B7),'Earnings Sheet'!T7*K31/31,0)</f>
        <v>0</v>
      </c>
      <c r="O31" s="133">
        <f>IF(AND('Data Sheet'!$H$54&gt;='Earnings Sheet'!$A$5,'Data Sheet'!$H$54&lt;'Earnings Sheet'!B7),'Earnings Sheet'!U7*K31/31,0)</f>
        <v>0</v>
      </c>
    </row>
    <row r="32" spans="1:15" ht="16.5" thickBot="1">
      <c r="A32" s="1041" t="s">
        <v>1058</v>
      </c>
      <c r="B32" s="1041"/>
      <c r="C32" s="1041"/>
      <c r="D32" s="1041"/>
      <c r="E32" s="1069">
        <f>(E30)*15%</f>
        <v>0</v>
      </c>
      <c r="F32" s="1069"/>
      <c r="G32" s="1069"/>
      <c r="H32" s="1069"/>
      <c r="I32" s="1069"/>
      <c r="J32" s="131">
        <f t="shared" si="1"/>
        <v>44013</v>
      </c>
      <c r="K32" s="132">
        <f>IF(AND('Data Sheet'!$H$54&gt;='Earnings Sheet'!$A$5,'Earnings Sheet'!$H$52&lt;='Earnings Sheet'!B8,'Data Sheet'!$I$54&gt;='Earnings Sheet'!B8),IF(('Earnings Sheet'!B8-'Data Sheet'!$H$54)+1&lt;0,0,(('Earnings Sheet'!B8-'Data Sheet'!$H$54)+1)-SUM($K$29:K30)),0)</f>
        <v>61</v>
      </c>
      <c r="L32" s="133">
        <f>IF(AND('Data Sheet'!$H$54&gt;='Earnings Sheet'!$A$5,'Data Sheet'!$H$54&lt;'Earnings Sheet'!B8),'Earnings Sheet'!Q8*K32/K32,0)</f>
        <v>0</v>
      </c>
      <c r="M32" s="133">
        <f>IF(AND('Data Sheet'!$H$54&gt;='Earnings Sheet'!$A$5,'Data Sheet'!$H$54&lt;'Earnings Sheet'!B8),'Earnings Sheet'!G8*K32/K32,0)</f>
        <v>0</v>
      </c>
      <c r="N32" s="133">
        <f>IF(AND('Data Sheet'!$H$54&gt;='Earnings Sheet'!$A$5,'Data Sheet'!$H$54&lt;'Earnings Sheet'!B8),'Earnings Sheet'!T8*K32/31,0)</f>
        <v>0</v>
      </c>
      <c r="O32" s="133">
        <f>IF(AND('Data Sheet'!$H$54&gt;='Earnings Sheet'!$A$5,'Data Sheet'!$H$54&lt;'Earnings Sheet'!B8),'Earnings Sheet'!U8*K32/31,0)</f>
        <v>0</v>
      </c>
    </row>
    <row r="33" spans="1:15" ht="16.5" thickTop="1">
      <c r="A33" s="1041" t="s">
        <v>472</v>
      </c>
      <c r="B33" s="1041"/>
      <c r="C33" s="1041"/>
      <c r="D33" s="1041"/>
      <c r="E33" s="1092">
        <f>IF('Data Sheet'!F53="No",0,IF('Data Sheet'!F53="Yes",N41))</f>
        <v>0</v>
      </c>
      <c r="F33" s="1092"/>
      <c r="G33" s="1092"/>
      <c r="H33" s="1092"/>
      <c r="I33" s="1092"/>
      <c r="J33" s="131">
        <f t="shared" si="1"/>
        <v>44044</v>
      </c>
      <c r="K33" s="132">
        <f>IF(AND('Data Sheet'!$H$54&gt;='Earnings Sheet'!$A$5,'Earnings Sheet'!$H$52&lt;='Earnings Sheet'!B9,'Data Sheet'!$I$54&gt;='Earnings Sheet'!B9),IF(('Earnings Sheet'!B9-'Data Sheet'!$H$54)+1&lt;0,0,(('Earnings Sheet'!B9-'Data Sheet'!$H$54)+1)-SUM($K$29:K32)),0)</f>
        <v>1</v>
      </c>
      <c r="L33" s="133">
        <f>IF(AND('Data Sheet'!$H$54&gt;='Earnings Sheet'!$A$5,'Data Sheet'!$H$54&lt;'Earnings Sheet'!B9),'Earnings Sheet'!Q9*K33/K33,0)</f>
        <v>0</v>
      </c>
      <c r="M33" s="133">
        <f>IF(AND('Data Sheet'!$H$54&gt;='Earnings Sheet'!$A$5,'Data Sheet'!$H$54&lt;'Earnings Sheet'!B9),'Earnings Sheet'!G9*K33/K33,0)</f>
        <v>0</v>
      </c>
      <c r="N33" s="133">
        <f>IF(AND('Data Sheet'!$H$54&gt;='Earnings Sheet'!$A$5,'Data Sheet'!$H$54&lt;'Earnings Sheet'!B9),'Earnings Sheet'!T9*K33/31,0)</f>
        <v>0</v>
      </c>
      <c r="O33" s="133">
        <f>IF(AND('Data Sheet'!$H$54&gt;='Earnings Sheet'!$A$5,'Data Sheet'!$H$54&lt;'Earnings Sheet'!B9),'Earnings Sheet'!U9*K33/31,0)</f>
        <v>0</v>
      </c>
    </row>
    <row r="34" spans="1:15" ht="15.75">
      <c r="A34" s="1097" t="s">
        <v>852</v>
      </c>
      <c r="B34" s="1041"/>
      <c r="C34" s="1041"/>
      <c r="D34" s="1041"/>
      <c r="E34" s="1101">
        <f>E32-E33</f>
        <v>0</v>
      </c>
      <c r="F34" s="1101"/>
      <c r="G34" s="1101"/>
      <c r="H34" s="1101"/>
      <c r="I34" s="1101"/>
      <c r="J34" s="131">
        <f t="shared" si="1"/>
        <v>44075</v>
      </c>
      <c r="K34" s="132">
        <f>IF(AND('Data Sheet'!$H$54&gt;='Earnings Sheet'!$A$5,'Earnings Sheet'!$H$52&lt;='Earnings Sheet'!B10,'Data Sheet'!$I$54&gt;='Earnings Sheet'!B10),IF(('Earnings Sheet'!B10-'Data Sheet'!$H$54)+1&lt;0,0,(('Earnings Sheet'!B10-'Data Sheet'!$H$54)+1)-SUM($K$29:K33)),0)</f>
        <v>30</v>
      </c>
      <c r="L34" s="133">
        <f>IF(AND('Data Sheet'!$H$54&gt;='Earnings Sheet'!$A$5,'Data Sheet'!$H$54&lt;'Earnings Sheet'!B10),'Earnings Sheet'!Q10*K34/K34,0)</f>
        <v>0</v>
      </c>
      <c r="M34" s="133">
        <f>IF(AND('Data Sheet'!$H$54&gt;='Earnings Sheet'!$A$5,'Data Sheet'!$H$54&lt;'Earnings Sheet'!B10),'Earnings Sheet'!G10*K34/K34,0)</f>
        <v>0</v>
      </c>
      <c r="N34" s="133">
        <f>IF(AND('Data Sheet'!$H$54&gt;='Earnings Sheet'!$A$5,'Data Sheet'!$H$54&lt;'Earnings Sheet'!B10),'Earnings Sheet'!T10*K34/31,0)</f>
        <v>0</v>
      </c>
      <c r="O34" s="133">
        <f>IF(AND('Data Sheet'!$H$54&gt;='Earnings Sheet'!$A$5,'Data Sheet'!$H$54&lt;'Earnings Sheet'!B10),'Earnings Sheet'!U10*K34/31,0)</f>
        <v>0</v>
      </c>
    </row>
    <row r="35" spans="1:15" ht="16.5" thickBot="1">
      <c r="A35" s="1041" t="s">
        <v>474</v>
      </c>
      <c r="B35" s="1041"/>
      <c r="C35" s="1041"/>
      <c r="D35" s="1041"/>
      <c r="E35" s="1095" t="str">
        <f>IF('Data Sheet'!F53="No","",IF('Data Sheet'!F53="Yes",MIN('Perks Sheet'!E29,'Perks Sheet'!E32)))</f>
        <v/>
      </c>
      <c r="F35" s="1095"/>
      <c r="G35" s="1095"/>
      <c r="H35" s="1095"/>
      <c r="I35" s="1095"/>
      <c r="J35" s="131">
        <f t="shared" si="1"/>
        <v>44105</v>
      </c>
      <c r="K35" s="132">
        <f>IF(AND('Data Sheet'!$H$54&gt;='Earnings Sheet'!$A$5,'Earnings Sheet'!$H$52&lt;='Earnings Sheet'!B11,'Data Sheet'!$I$54&gt;='Earnings Sheet'!B11),IF(('Earnings Sheet'!B11-'Data Sheet'!$H$54)+1&lt;0,0,(('Earnings Sheet'!B11-'Data Sheet'!$H$54)+1)-SUM($K$29:K34)),0)</f>
        <v>31</v>
      </c>
      <c r="L35" s="133">
        <f>IF(AND('Data Sheet'!$H$54&gt;='Earnings Sheet'!$A$5,'Data Sheet'!$H$54&lt;'Earnings Sheet'!B11),'Earnings Sheet'!Q11*K35/K35,0)</f>
        <v>0</v>
      </c>
      <c r="M35" s="133">
        <f>IF(AND('Data Sheet'!$H$54&gt;='Earnings Sheet'!$A$5,'Data Sheet'!$H$54&lt;'Earnings Sheet'!B11),'Earnings Sheet'!G11*K35/K35,0)</f>
        <v>0</v>
      </c>
      <c r="N35" s="133">
        <f>IF(AND('Data Sheet'!$H$54&gt;='Earnings Sheet'!$A$5,'Data Sheet'!$H$54&lt;'Earnings Sheet'!B11),'Earnings Sheet'!T11*K35/31,0)</f>
        <v>0</v>
      </c>
      <c r="O35" s="133">
        <f>IF(AND('Data Sheet'!$H$54&gt;='Earnings Sheet'!$A$5,'Data Sheet'!$H$54&lt;'Earnings Sheet'!B11),'Earnings Sheet'!U11*K35/31,0)</f>
        <v>0</v>
      </c>
    </row>
    <row r="36" spans="1:15" ht="16.5" thickBot="1">
      <c r="A36" s="1041" t="s">
        <v>475</v>
      </c>
      <c r="B36" s="1041"/>
      <c r="C36" s="1041"/>
      <c r="D36" s="1041"/>
      <c r="E36" s="1098" t="str">
        <f>E35</f>
        <v/>
      </c>
      <c r="F36" s="1099"/>
      <c r="G36" s="1099"/>
      <c r="H36" s="1099"/>
      <c r="I36" s="1100"/>
      <c r="J36" s="131">
        <f t="shared" si="1"/>
        <v>44136</v>
      </c>
      <c r="K36" s="132">
        <f>IF(AND('Data Sheet'!$H$54&gt;='Earnings Sheet'!$A$5,'Earnings Sheet'!$H$52&lt;='Earnings Sheet'!B12,'Data Sheet'!$I$54&gt;='Earnings Sheet'!B12),IF(('Earnings Sheet'!B12-'Data Sheet'!$H$54)+1&lt;0,0,(('Earnings Sheet'!B12-'Data Sheet'!$H$54)+1)-SUM($K$29:K35)),0)</f>
        <v>30</v>
      </c>
      <c r="L36" s="133">
        <f>IF(AND('Data Sheet'!$H$54&gt;='Earnings Sheet'!$A$5,'Data Sheet'!$H$54&lt;'Earnings Sheet'!B12),'Earnings Sheet'!Q12*K36/K36,0)</f>
        <v>0</v>
      </c>
      <c r="M36" s="133">
        <f>IF(AND('Data Sheet'!$H$54&gt;='Earnings Sheet'!$A$5,'Data Sheet'!$H$54&lt;'Earnings Sheet'!B12),'Earnings Sheet'!G12*K36/K36,0)</f>
        <v>0</v>
      </c>
      <c r="N36" s="133">
        <f>IF(AND('Data Sheet'!$H$54&gt;='Earnings Sheet'!$A$5,'Data Sheet'!$H$54&lt;'Earnings Sheet'!B12),'Earnings Sheet'!T12*K36/31,0)</f>
        <v>0</v>
      </c>
      <c r="O36" s="133">
        <f>IF(AND('Data Sheet'!$H$54&gt;='Earnings Sheet'!$A$5,'Data Sheet'!$H$54&lt;'Earnings Sheet'!B12),'Earnings Sheet'!U12*K36/31,0)</f>
        <v>0</v>
      </c>
    </row>
    <row r="37" spans="1:15" ht="15.75">
      <c r="A37" s="4"/>
      <c r="B37" s="4"/>
      <c r="C37" s="4"/>
      <c r="D37" s="4"/>
      <c r="E37" s="67"/>
      <c r="F37" s="67"/>
      <c r="G37" s="67"/>
      <c r="H37" s="67"/>
      <c r="I37" s="67"/>
      <c r="J37" s="131">
        <f t="shared" si="1"/>
        <v>44166</v>
      </c>
      <c r="K37" s="132">
        <f>IF(AND('Data Sheet'!$H$54&gt;='Earnings Sheet'!$A$5,'Earnings Sheet'!$H$52&lt;='Earnings Sheet'!B13,'Data Sheet'!$I$54&gt;='Earnings Sheet'!B13),IF(('Earnings Sheet'!B13-'Data Sheet'!$H$54)+1&lt;0,0,(('Earnings Sheet'!B13-'Data Sheet'!$H$54)+1)-SUM($K$29:K36)),0)</f>
        <v>31</v>
      </c>
      <c r="L37" s="133">
        <f>IF(AND('Data Sheet'!$H$54&gt;='Earnings Sheet'!$A$5,'Data Sheet'!$H$54&lt;'Earnings Sheet'!B13),'Earnings Sheet'!Q13*K37/K37,0)</f>
        <v>0</v>
      </c>
      <c r="M37" s="133">
        <f>IF(AND('Data Sheet'!$H$54&gt;='Earnings Sheet'!$A$5,'Data Sheet'!$H$54&lt;'Earnings Sheet'!B13),'Earnings Sheet'!G13*K37/K37,0)</f>
        <v>0</v>
      </c>
      <c r="N37" s="133">
        <f>IF(AND('Data Sheet'!$H$54&gt;='Earnings Sheet'!$A$5,'Data Sheet'!$H$54&lt;'Earnings Sheet'!B13),'Earnings Sheet'!T13*K37/31,0)</f>
        <v>0</v>
      </c>
      <c r="O37" s="133">
        <f>IF(AND('Data Sheet'!$H$54&gt;='Earnings Sheet'!$A$5,'Data Sheet'!$H$54&lt;'Earnings Sheet'!B13),'Earnings Sheet'!U13*K37/31,0)</f>
        <v>0</v>
      </c>
    </row>
    <row r="38" spans="1:15" ht="15.75">
      <c r="A38" s="1089"/>
      <c r="B38" s="1111"/>
      <c r="C38" s="1111"/>
      <c r="D38" s="1111"/>
      <c r="E38" s="1111"/>
      <c r="F38" s="1111"/>
      <c r="G38" s="1111"/>
      <c r="H38" s="1111"/>
      <c r="I38" s="1111"/>
      <c r="J38" s="131">
        <f t="shared" si="1"/>
        <v>44197</v>
      </c>
      <c r="K38" s="132">
        <f>IF(AND('Data Sheet'!$H$54&gt;='Earnings Sheet'!$A$5,'Earnings Sheet'!$H$52&lt;='Earnings Sheet'!B14,'Data Sheet'!$I$54&gt;='Earnings Sheet'!B14),IF(('Earnings Sheet'!B14-'Data Sheet'!$H$54)+1&lt;0,0,(('Earnings Sheet'!B14-'Data Sheet'!$H$54)+1)-SUM($K$29:K37)),0)</f>
        <v>31</v>
      </c>
      <c r="L38" s="133">
        <f>IF(AND('Data Sheet'!$H$54&gt;='Earnings Sheet'!$A$5,'Data Sheet'!$H$54&lt;'Earnings Sheet'!B14),'Earnings Sheet'!Q14*K38/K38,0)</f>
        <v>0</v>
      </c>
      <c r="M38" s="133">
        <f>IF(AND('Data Sheet'!$H$54&gt;='Earnings Sheet'!$A$5,'Data Sheet'!$H$54&lt;'Earnings Sheet'!B14),'Earnings Sheet'!G14*K38/K38,0)</f>
        <v>0</v>
      </c>
      <c r="N38" s="133">
        <f>IF(AND('Data Sheet'!$H$54&gt;='Earnings Sheet'!$A$5,'Data Sheet'!$H$54&lt;'Earnings Sheet'!B14),'Earnings Sheet'!T14*K38/31,0)</f>
        <v>0</v>
      </c>
      <c r="O38" s="133">
        <f>IF(AND('Data Sheet'!$H$54&gt;='Earnings Sheet'!$A$5,'Data Sheet'!$H$54&lt;'Earnings Sheet'!B14),'Earnings Sheet'!U14*K38/31,0)</f>
        <v>0</v>
      </c>
    </row>
    <row r="39" spans="1:15" ht="15.75">
      <c r="A39" s="4"/>
      <c r="B39" s="4"/>
      <c r="C39" s="4"/>
      <c r="D39" s="4"/>
      <c r="E39" s="67"/>
      <c r="F39" s="67"/>
      <c r="G39" s="67"/>
      <c r="H39" s="67"/>
      <c r="I39" s="67"/>
      <c r="J39" s="131">
        <f t="shared" si="1"/>
        <v>44228</v>
      </c>
      <c r="K39" s="132">
        <f>IF(AND('Data Sheet'!$H$54&gt;='Earnings Sheet'!$A$5,'Earnings Sheet'!$H$52&lt;='Earnings Sheet'!B15,'Data Sheet'!$I$54&gt;='Earnings Sheet'!B15),IF(('Earnings Sheet'!B15-'Data Sheet'!$H$54)+1&lt;0,0,(('Earnings Sheet'!B15-'Data Sheet'!$H$54)+1)-SUM($K$29:K38)),0)</f>
        <v>28</v>
      </c>
      <c r="L39" s="133">
        <f>IF(AND('Data Sheet'!$H$54&gt;='Earnings Sheet'!$A$5,'Data Sheet'!$H$54&lt;'Earnings Sheet'!B15),'Earnings Sheet'!Q15*K39/K39,0)</f>
        <v>0</v>
      </c>
      <c r="M39" s="133">
        <f>IF(AND('Data Sheet'!$H$54&gt;='Earnings Sheet'!$A$5,'Data Sheet'!$H$54&lt;'Earnings Sheet'!B15),'Earnings Sheet'!G15*K39/K39,0)</f>
        <v>0</v>
      </c>
      <c r="N39" s="133">
        <f>IF(AND('Data Sheet'!$H$54&gt;='Earnings Sheet'!$A$5,'Data Sheet'!$H$54&lt;'Earnings Sheet'!B15),'Earnings Sheet'!T15*K39/31,0)</f>
        <v>0</v>
      </c>
      <c r="O39" s="133">
        <f>IF(AND('Data Sheet'!$H$54&gt;='Earnings Sheet'!$A$5,'Data Sheet'!$H$54&lt;'Earnings Sheet'!B15),'Earnings Sheet'!U15*K39/31,0)</f>
        <v>0</v>
      </c>
    </row>
    <row r="40" spans="1:15" ht="15.75">
      <c r="A40" s="1041"/>
      <c r="B40" s="1041"/>
      <c r="C40" s="1041"/>
      <c r="D40" s="1041"/>
      <c r="E40" s="1094"/>
      <c r="F40" s="1094"/>
      <c r="G40" s="1094"/>
      <c r="H40" s="1094"/>
      <c r="I40" s="1094"/>
      <c r="J40" s="131">
        <f t="shared" si="1"/>
        <v>44256</v>
      </c>
      <c r="K40" s="132">
        <f>IF(AND('Data Sheet'!$H$54&gt;='Earnings Sheet'!$A$5,'Earnings Sheet'!$H$52&lt;='Earnings Sheet'!B16,'Data Sheet'!$I$54&gt;='Earnings Sheet'!B16),IF(('Earnings Sheet'!B16-'Data Sheet'!$H$54)+1&lt;0,0,(('Earnings Sheet'!B16-'Data Sheet'!$H$54)+1)-SUM($K$29:K39)),0)</f>
        <v>31</v>
      </c>
      <c r="L40" s="133">
        <f>IF(AND('Data Sheet'!$H$54&gt;='Earnings Sheet'!$A$5,'Data Sheet'!$H$54&lt;'Earnings Sheet'!B16),'Earnings Sheet'!Q16*K40/K40,0)</f>
        <v>0</v>
      </c>
      <c r="M40" s="133">
        <f>IF(AND('Data Sheet'!$H$54&gt;='Earnings Sheet'!$A$5,'Data Sheet'!$H$54&lt;'Earnings Sheet'!B16),'Earnings Sheet'!G16*K40/K40,0)</f>
        <v>0</v>
      </c>
      <c r="N40" s="133">
        <f>IF(AND('Data Sheet'!$H$54&gt;='Earnings Sheet'!$A$5,'Data Sheet'!$H$54&lt;'Earnings Sheet'!B16),'Earnings Sheet'!T16*K40/31,0)</f>
        <v>0</v>
      </c>
      <c r="O40" s="133">
        <f>IF(AND('Data Sheet'!$H$54&gt;='Earnings Sheet'!$A$5,'Data Sheet'!$H$54&lt;'Earnings Sheet'!B16),'Earnings Sheet'!U16*K40/31,0)</f>
        <v>0</v>
      </c>
    </row>
    <row r="41" spans="1:15" ht="15.75">
      <c r="A41" s="4"/>
      <c r="B41" s="4"/>
      <c r="C41" s="4"/>
      <c r="D41" s="4"/>
      <c r="E41" s="67"/>
      <c r="F41" s="67"/>
      <c r="G41" s="67"/>
      <c r="H41" s="67"/>
      <c r="I41" s="67"/>
      <c r="J41" s="138" t="str">
        <f>J16</f>
        <v>Total</v>
      </c>
      <c r="K41" s="139">
        <f>SUM(K29:K40)</f>
        <v>365</v>
      </c>
      <c r="L41" s="135">
        <f>SUM(L29:L40)</f>
        <v>0</v>
      </c>
      <c r="M41" s="135">
        <f>SUM(M29:M40)</f>
        <v>0</v>
      </c>
      <c r="N41" s="135">
        <f>SUM(N29:N40)</f>
        <v>0</v>
      </c>
      <c r="O41" s="135">
        <f>SUM(O29:O40)</f>
        <v>0</v>
      </c>
    </row>
    <row r="42" spans="1:15" ht="15">
      <c r="A42" s="1057"/>
      <c r="B42" s="1057"/>
      <c r="C42" s="1057"/>
      <c r="D42" s="1057"/>
      <c r="E42" s="1094"/>
      <c r="F42" s="1094"/>
      <c r="G42" s="1094"/>
      <c r="H42" s="1094"/>
      <c r="I42" s="1094"/>
    </row>
    <row r="43" spans="1:15" ht="15">
      <c r="A43" s="1057"/>
      <c r="B43" s="1057"/>
      <c r="C43" s="1057"/>
      <c r="D43" s="1057"/>
      <c r="E43" s="67"/>
      <c r="F43" s="67"/>
      <c r="G43" s="67"/>
      <c r="H43" s="67"/>
      <c r="I43" s="67"/>
    </row>
    <row r="44" spans="1:15" ht="15.75" thickBot="1">
      <c r="A44" s="4"/>
      <c r="B44" s="4"/>
      <c r="C44" s="4"/>
      <c r="D44" s="4"/>
      <c r="E44" s="67"/>
      <c r="F44" s="67"/>
      <c r="G44" s="67"/>
      <c r="H44" s="67"/>
      <c r="I44" s="67"/>
    </row>
    <row r="45" spans="1:15" ht="15.75" thickBot="1">
      <c r="A45" s="1041" t="s">
        <v>56</v>
      </c>
      <c r="B45" s="1041"/>
      <c r="C45" s="1041"/>
      <c r="D45" s="1041"/>
      <c r="E45" s="1102">
        <f>IF('Data Sheet'!F50="Yes",E20,IF('Data Sheet'!F53="Yes",E36,IF('Data Sheet'!F60="Yes",'Perks Sheet'!E42,IF(AND('Data Sheet'!F50="No",'Data Sheet'!F53="No",'Data Sheet'!F60="No"),0))))</f>
        <v>0</v>
      </c>
      <c r="F45" s="1103"/>
      <c r="G45" s="1103"/>
      <c r="H45" s="1103"/>
      <c r="I45" s="1104"/>
    </row>
    <row r="46" spans="1:15">
      <c r="A46" s="1105" t="s">
        <v>57</v>
      </c>
      <c r="B46" s="1105"/>
      <c r="C46" s="1105"/>
      <c r="D46" s="1105"/>
      <c r="E46" s="1105"/>
      <c r="F46" s="1105"/>
      <c r="G46" s="1105"/>
      <c r="H46" s="1105"/>
      <c r="I46" s="1105"/>
    </row>
    <row r="48" spans="1:15" ht="15">
      <c r="A48" s="1" t="s">
        <v>58</v>
      </c>
      <c r="B48" s="1090" t="s">
        <v>59</v>
      </c>
      <c r="C48" s="1090"/>
      <c r="D48" s="1090"/>
      <c r="E48" s="1090"/>
      <c r="F48" s="1090"/>
      <c r="G48" s="1090"/>
      <c r="H48" s="1090"/>
      <c r="I48" s="1090"/>
    </row>
    <row r="49" spans="1:9">
      <c r="B49" s="1090"/>
      <c r="C49" s="1090"/>
      <c r="D49" s="1090"/>
      <c r="E49" s="1090"/>
      <c r="F49" s="1090"/>
      <c r="G49" s="1090"/>
      <c r="H49" s="1090"/>
      <c r="I49" s="1090"/>
    </row>
    <row r="50" spans="1:9">
      <c r="B50" s="1043"/>
      <c r="C50" s="1043"/>
      <c r="D50" s="1043"/>
      <c r="E50" s="1043"/>
      <c r="F50" s="1043"/>
      <c r="G50" s="1043"/>
      <c r="H50" s="1043"/>
      <c r="I50" s="1043"/>
    </row>
    <row r="52" spans="1:9" ht="15">
      <c r="B52" s="1041" t="s">
        <v>60</v>
      </c>
      <c r="C52" s="1041"/>
      <c r="D52" s="1041"/>
      <c r="E52" s="1078" t="str">
        <f>IF('Data Sheet'!F69="Yes", 0,  IF('Data Sheet'!F69="No","Not applicable", IF('Data Sheet'!F69="", "Not applicable")))</f>
        <v>Not applicable</v>
      </c>
      <c r="F52" s="1078"/>
      <c r="G52" s="1078"/>
      <c r="H52" s="1078"/>
      <c r="I52" s="1078"/>
    </row>
    <row r="54" spans="1:9" ht="15">
      <c r="A54" s="1" t="s">
        <v>61</v>
      </c>
      <c r="B54" s="1090" t="s">
        <v>214</v>
      </c>
      <c r="C54" s="1090"/>
      <c r="D54" s="1090"/>
      <c r="E54" s="1090"/>
      <c r="F54" s="1090"/>
      <c r="G54" s="1090"/>
      <c r="H54" s="1090"/>
      <c r="I54" s="1090"/>
    </row>
    <row r="55" spans="1:9">
      <c r="B55" s="1090"/>
      <c r="C55" s="1090"/>
      <c r="D55" s="1090"/>
      <c r="E55" s="1090"/>
      <c r="F55" s="1090"/>
      <c r="G55" s="1090"/>
      <c r="H55" s="1090"/>
      <c r="I55" s="1090"/>
    </row>
    <row r="56" spans="1:9">
      <c r="B56" s="1057" t="s">
        <v>62</v>
      </c>
      <c r="C56" s="1057"/>
      <c r="D56" s="1057"/>
      <c r="E56" s="1074">
        <f>IF('Data Sheet'!F71="Yes",'Data Sheet'!F72, IF('Data Sheet'!F71="No",0, IF('Data Sheet'!F71="",0)))</f>
        <v>0</v>
      </c>
      <c r="F56" s="1074"/>
      <c r="G56" s="1074"/>
      <c r="H56" s="1074"/>
      <c r="I56" s="1074"/>
    </row>
    <row r="57" spans="1:9">
      <c r="B57" s="1057"/>
      <c r="C57" s="1057"/>
      <c r="D57" s="1057"/>
      <c r="E57" s="1074"/>
      <c r="F57" s="1074"/>
      <c r="G57" s="1074"/>
      <c r="H57" s="1074"/>
      <c r="I57" s="1074"/>
    </row>
    <row r="58" spans="1:9">
      <c r="B58" s="1057"/>
      <c r="C58" s="1057"/>
      <c r="D58" s="1057"/>
      <c r="E58" s="1074"/>
      <c r="F58" s="1074"/>
      <c r="G58" s="1074"/>
      <c r="H58" s="1074"/>
      <c r="I58" s="1074"/>
    </row>
    <row r="59" spans="1:9" ht="15">
      <c r="B59" s="1042" t="s">
        <v>63</v>
      </c>
      <c r="C59" s="1042"/>
      <c r="D59" s="1042"/>
      <c r="E59" s="1070"/>
      <c r="F59" s="1070"/>
      <c r="G59" s="1070"/>
      <c r="H59" s="1070"/>
      <c r="I59" s="1070"/>
    </row>
    <row r="60" spans="1:9">
      <c r="B60" s="1057" t="s">
        <v>64</v>
      </c>
      <c r="C60" s="1057"/>
      <c r="D60" s="1057"/>
      <c r="E60" s="1074">
        <f>IF('Data Sheet'!F71="Yes",'Data Sheet'!F73*10%, IF('Data Sheet'!F71="No",0,IF('Data Sheet'!F71="", 0)))</f>
        <v>0</v>
      </c>
      <c r="F60" s="1074"/>
      <c r="G60" s="1074"/>
      <c r="H60" s="1074"/>
      <c r="I60" s="1074"/>
    </row>
    <row r="61" spans="1:9">
      <c r="B61" s="1057"/>
      <c r="C61" s="1057"/>
      <c r="D61" s="1057"/>
      <c r="E61" s="1074"/>
      <c r="F61" s="1074"/>
      <c r="G61" s="1074"/>
      <c r="H61" s="1074"/>
      <c r="I61" s="1074"/>
    </row>
    <row r="62" spans="1:9" ht="15">
      <c r="B62" s="1042" t="s">
        <v>63</v>
      </c>
      <c r="C62" s="1042"/>
      <c r="D62" s="1042"/>
    </row>
    <row r="63" spans="1:9">
      <c r="B63" s="1091" t="s">
        <v>65</v>
      </c>
      <c r="C63" s="1091"/>
      <c r="D63" s="1091"/>
      <c r="E63" s="1074">
        <f>IF('Data Sheet'!F71="Yes",'Data Sheet'!F74*12, IF('Data Sheet'!F71="No",0, IF('Data Sheet'!F71="", 0)))</f>
        <v>0</v>
      </c>
      <c r="F63" s="1074"/>
      <c r="G63" s="1074"/>
      <c r="H63" s="1074"/>
      <c r="I63" s="1074"/>
    </row>
    <row r="64" spans="1:9">
      <c r="B64" s="1091"/>
      <c r="C64" s="1091"/>
      <c r="D64" s="1091"/>
      <c r="E64" s="1074"/>
      <c r="F64" s="1074"/>
      <c r="G64" s="1074"/>
      <c r="H64" s="1074"/>
      <c r="I64" s="1074"/>
    </row>
    <row r="65" spans="1:9" ht="15">
      <c r="B65" s="1042" t="s">
        <v>54</v>
      </c>
      <c r="C65" s="1042"/>
      <c r="D65" s="1042"/>
    </row>
    <row r="66" spans="1:9">
      <c r="B66" s="1057" t="s">
        <v>66</v>
      </c>
      <c r="C66" s="1057"/>
      <c r="D66" s="1057"/>
      <c r="E66" s="1074">
        <f>'Earnings Sheet'!V18</f>
        <v>0</v>
      </c>
      <c r="F66" s="1074"/>
      <c r="G66" s="1074"/>
      <c r="H66" s="1074"/>
      <c r="I66" s="1074"/>
    </row>
    <row r="67" spans="1:9">
      <c r="B67" s="1057"/>
      <c r="C67" s="1057"/>
      <c r="D67" s="1057"/>
      <c r="E67" s="1074"/>
      <c r="F67" s="1074"/>
      <c r="G67" s="1074"/>
      <c r="H67" s="1074"/>
      <c r="I67" s="1074"/>
    </row>
    <row r="69" spans="1:9" ht="15">
      <c r="B69" s="1041" t="s">
        <v>67</v>
      </c>
      <c r="C69" s="1041"/>
      <c r="D69" s="1041"/>
      <c r="E69" s="1088">
        <f>IF('Data Sheet'!F71="Yes",('Perks Sheet'!E56+'Perks Sheet'!E60+'Perks Sheet'!E63-'Perks Sheet'!E66), IF('Data Sheet'!F71="No","Not Applicable", IF('Data Sheet'!F71 ="", "Not Applicable")))</f>
        <v>0</v>
      </c>
      <c r="F69" s="1088"/>
      <c r="G69" s="1088"/>
      <c r="H69" s="1088"/>
      <c r="I69" s="1088"/>
    </row>
    <row r="71" spans="1:9" ht="15">
      <c r="A71" s="1" t="s">
        <v>68</v>
      </c>
      <c r="B71" s="1089" t="s">
        <v>69</v>
      </c>
      <c r="C71" s="1089"/>
      <c r="D71" s="1089"/>
      <c r="E71" s="1089"/>
      <c r="F71" s="1089"/>
      <c r="G71" s="1089"/>
      <c r="H71" s="1089"/>
      <c r="I71" s="1089"/>
    </row>
    <row r="73" spans="1:9" ht="15">
      <c r="A73" s="8" t="s">
        <v>70</v>
      </c>
      <c r="B73" s="1041" t="s">
        <v>71</v>
      </c>
      <c r="C73" s="1041"/>
      <c r="D73" s="1041"/>
      <c r="E73" s="1041"/>
      <c r="F73" s="1041"/>
      <c r="G73" s="1041"/>
      <c r="H73" s="1070">
        <f>(1800+900)*12</f>
        <v>32400</v>
      </c>
      <c r="I73" s="1070"/>
    </row>
    <row r="74" spans="1:9">
      <c r="H74" s="1070"/>
      <c r="I74" s="1070"/>
    </row>
    <row r="75" spans="1:9" ht="15">
      <c r="A75" s="8" t="s">
        <v>72</v>
      </c>
      <c r="B75" s="1041" t="s">
        <v>73</v>
      </c>
      <c r="C75" s="1041"/>
      <c r="D75" s="1041"/>
      <c r="E75" s="1041"/>
      <c r="F75" s="1041"/>
      <c r="G75" s="1041"/>
      <c r="H75" s="1070">
        <f>(1800)*12</f>
        <v>21600</v>
      </c>
      <c r="I75" s="1070"/>
    </row>
    <row r="76" spans="1:9">
      <c r="H76" s="1070"/>
      <c r="I76" s="1070"/>
    </row>
    <row r="77" spans="1:9" ht="15">
      <c r="A77" s="8" t="s">
        <v>74</v>
      </c>
      <c r="B77" s="1041" t="s">
        <v>75</v>
      </c>
      <c r="C77" s="1041"/>
      <c r="D77" s="1041"/>
      <c r="E77" s="1041"/>
      <c r="F77" s="1041"/>
      <c r="G77" s="1041"/>
      <c r="H77" s="1070">
        <f>(2400+900)*12</f>
        <v>39600</v>
      </c>
      <c r="I77" s="1070"/>
    </row>
    <row r="78" spans="1:9">
      <c r="H78" s="1070"/>
      <c r="I78" s="1070"/>
    </row>
    <row r="79" spans="1:9" ht="15">
      <c r="A79" s="8" t="s">
        <v>76</v>
      </c>
      <c r="B79" s="1041" t="s">
        <v>77</v>
      </c>
      <c r="C79" s="1041"/>
      <c r="D79" s="1041"/>
      <c r="E79" s="1041"/>
      <c r="F79" s="1041"/>
      <c r="G79" s="1041"/>
      <c r="H79" s="1070">
        <f>2400*12</f>
        <v>28800</v>
      </c>
      <c r="I79" s="1070"/>
    </row>
    <row r="81" spans="1:9" ht="15">
      <c r="B81" s="1043" t="s">
        <v>78</v>
      </c>
      <c r="C81" s="1043"/>
      <c r="D81" s="9">
        <f>IF('Data Sheet'!F64="No",0,IF(AND('Data Sheet'!F64="Yes",'Data Sheet'!F65="Yes",'Data Sheet'!F67="Yes",'Data Sheet'!F68="No"),'Perks Sheet'!H73,IF(AND('Data Sheet'!F64="Yes",'Data Sheet'!F65="No",'Data Sheet'!F67="Yes",'Data Sheet'!F68="No"),'Perks Sheet'!H75,IF(AND('Data Sheet'!F64="Yes",'Data Sheet'!F65="Yes",'Data Sheet'!F67="No",'Data Sheet'!F68="Yes"),'Perks Sheet'!H77,IF(AND('Data Sheet'!F64="Yes",'Data Sheet'!F65="No",'Data Sheet'!F67="No",'Data Sheet'!F68="Yes"),'Perks Sheet'!H79)))))</f>
        <v>0</v>
      </c>
      <c r="H81" s="1043"/>
      <c r="I81" s="1043"/>
    </row>
    <row r="82" spans="1:9" ht="14.25" thickBot="1"/>
    <row r="83" spans="1:9" ht="16.5" thickTop="1" thickBot="1">
      <c r="A83" s="1041" t="s">
        <v>79</v>
      </c>
      <c r="B83" s="1041"/>
      <c r="C83" s="1041"/>
      <c r="D83" s="1041"/>
      <c r="E83" s="1041"/>
      <c r="F83" s="1041"/>
      <c r="G83" s="1041"/>
      <c r="H83" s="1076">
        <f>IF(AND('Data Sheet'!F69="Yes",'Data Sheet'!F70="No",'Data Sheet'!F71="No"),'Perks Sheet'!E52,IF(AND('Data Sheet'!F69="No",'Data Sheet'!F70="Yes",'Data Sheet'!F71="No"),D81,IF(AND('Data Sheet'!F69="No",'Data Sheet'!F70="No",'Data Sheet'!F71="Yes"),'Perks Sheet'!E69)))</f>
        <v>0</v>
      </c>
      <c r="I83" s="1076"/>
    </row>
    <row r="84" spans="1:9">
      <c r="A84" s="1079" t="s">
        <v>491</v>
      </c>
      <c r="B84" s="1080"/>
      <c r="C84" s="1080"/>
      <c r="D84" s="1080"/>
      <c r="E84" s="1080"/>
      <c r="F84" s="1080"/>
      <c r="G84" s="1080"/>
      <c r="H84" s="1080"/>
      <c r="I84" s="1081"/>
    </row>
    <row r="85" spans="1:9" ht="13.5" customHeight="1">
      <c r="A85" s="1082"/>
      <c r="B85" s="1083"/>
      <c r="C85" s="1083"/>
      <c r="D85" s="1083"/>
      <c r="E85" s="1083"/>
      <c r="F85" s="1083"/>
      <c r="G85" s="1083"/>
      <c r="H85" s="1083"/>
      <c r="I85" s="1084"/>
    </row>
    <row r="86" spans="1:9">
      <c r="A86" s="1082"/>
      <c r="B86" s="1083"/>
      <c r="C86" s="1083"/>
      <c r="D86" s="1083"/>
      <c r="E86" s="1083"/>
      <c r="F86" s="1083"/>
      <c r="G86" s="1083"/>
      <c r="H86" s="1083"/>
      <c r="I86" s="1084"/>
    </row>
    <row r="87" spans="1:9" ht="14.25" thickBot="1">
      <c r="A87" s="1085"/>
      <c r="B87" s="1086"/>
      <c r="C87" s="1086"/>
      <c r="D87" s="1086"/>
      <c r="E87" s="1086"/>
      <c r="F87" s="1086"/>
      <c r="G87" s="1086"/>
      <c r="H87" s="1086"/>
      <c r="I87" s="1087"/>
    </row>
    <row r="88" spans="1:9" ht="15">
      <c r="A88" s="1041" t="s">
        <v>80</v>
      </c>
      <c r="B88" s="1041"/>
      <c r="C88" s="1041"/>
      <c r="D88" s="1041"/>
      <c r="E88" s="1041"/>
      <c r="F88" s="1041"/>
      <c r="H88" s="1078">
        <f>E96</f>
        <v>0</v>
      </c>
      <c r="I88" s="1078"/>
    </row>
    <row r="90" spans="1:9" ht="15">
      <c r="B90" s="1071" t="s">
        <v>35</v>
      </c>
      <c r="C90" s="1071"/>
      <c r="E90" s="1075">
        <f>'Perks on Loans'!C26</f>
        <v>0</v>
      </c>
      <c r="F90" s="1075"/>
    </row>
    <row r="91" spans="1:9" ht="15">
      <c r="B91" s="10" t="s">
        <v>36</v>
      </c>
      <c r="C91" s="10"/>
      <c r="E91" s="1075">
        <f>'Perks on Loans'!E26</f>
        <v>0</v>
      </c>
      <c r="F91" s="1075"/>
    </row>
    <row r="92" spans="1:9" ht="15">
      <c r="B92" s="1071" t="s">
        <v>38</v>
      </c>
      <c r="C92" s="1071"/>
      <c r="E92" s="1075">
        <f>'Perks on Loans'!I26</f>
        <v>0</v>
      </c>
      <c r="F92" s="1075"/>
    </row>
    <row r="93" spans="1:9" ht="15">
      <c r="B93" s="1071" t="s">
        <v>39</v>
      </c>
      <c r="C93" s="1071"/>
      <c r="E93" s="1075">
        <f>'Perks on Loans'!K26</f>
        <v>0</v>
      </c>
      <c r="F93" s="1075"/>
    </row>
    <row r="94" spans="1:9" ht="15">
      <c r="B94" s="1071" t="s">
        <v>40</v>
      </c>
      <c r="C94" s="1071"/>
      <c r="E94" s="1075">
        <f>'Perks on Loans'!M26</f>
        <v>0</v>
      </c>
      <c r="F94" s="1075"/>
    </row>
    <row r="95" spans="1:9" ht="14.25" thickBot="1">
      <c r="B95" s="1071" t="s">
        <v>217</v>
      </c>
      <c r="C95" s="1071"/>
      <c r="E95" s="1077">
        <f>'Perks on Loans'!G26</f>
        <v>0</v>
      </c>
      <c r="F95" s="1077"/>
    </row>
    <row r="96" spans="1:9" ht="16.5" thickTop="1" thickBot="1">
      <c r="B96" s="1041" t="s">
        <v>26</v>
      </c>
      <c r="C96" s="1041"/>
      <c r="E96" s="1072">
        <f>SUM(E90:F95)</f>
        <v>0</v>
      </c>
      <c r="F96" s="1073"/>
    </row>
    <row r="97" spans="1:9" ht="14.25" thickTop="1"/>
    <row r="99" spans="1:9" ht="15">
      <c r="A99" s="1041" t="s">
        <v>81</v>
      </c>
      <c r="B99" s="1041"/>
      <c r="C99" s="1041"/>
      <c r="D99" s="1041"/>
      <c r="E99" s="1041"/>
      <c r="F99" s="1041"/>
      <c r="H99" s="1070"/>
      <c r="I99" s="1070"/>
    </row>
    <row r="100" spans="1:9">
      <c r="H100" s="1070"/>
      <c r="I100" s="1070"/>
    </row>
    <row r="101" spans="1:9" ht="15">
      <c r="A101" s="1041" t="s">
        <v>82</v>
      </c>
      <c r="B101" s="1041"/>
      <c r="C101" s="1041"/>
      <c r="D101" s="1041"/>
      <c r="E101" s="1041"/>
      <c r="F101" s="1041"/>
      <c r="H101" s="1070"/>
      <c r="I101" s="1070"/>
    </row>
    <row r="102" spans="1:9" ht="15">
      <c r="A102" s="4"/>
      <c r="B102" s="4"/>
      <c r="C102" s="4"/>
      <c r="D102" s="4"/>
      <c r="E102" s="4"/>
      <c r="F102" s="4"/>
      <c r="H102" s="1070"/>
      <c r="I102" s="1070"/>
    </row>
    <row r="103" spans="1:9" ht="15">
      <c r="A103" s="1041" t="s">
        <v>83</v>
      </c>
      <c r="B103" s="1041"/>
      <c r="C103" s="1041"/>
      <c r="D103" s="1041"/>
      <c r="E103" s="1041"/>
      <c r="F103" s="1041"/>
      <c r="H103" s="1070"/>
      <c r="I103" s="1070"/>
    </row>
    <row r="104" spans="1:9" ht="15">
      <c r="A104" s="4"/>
      <c r="B104" s="4"/>
      <c r="C104" s="4"/>
      <c r="D104" s="4"/>
      <c r="E104" s="4"/>
      <c r="F104" s="4"/>
      <c r="H104" s="1070"/>
      <c r="I104" s="1070"/>
    </row>
    <row r="105" spans="1:9" ht="15">
      <c r="A105" s="1041" t="s">
        <v>84</v>
      </c>
      <c r="B105" s="1041"/>
      <c r="C105" s="1041"/>
      <c r="D105" s="1041"/>
      <c r="E105" s="1041"/>
      <c r="F105" s="1041"/>
      <c r="H105" s="1070"/>
      <c r="I105" s="1070"/>
    </row>
    <row r="106" spans="1:9" ht="15">
      <c r="A106" s="4"/>
      <c r="B106" s="4"/>
      <c r="C106" s="4"/>
      <c r="D106" s="4"/>
      <c r="E106" s="4"/>
      <c r="F106" s="4"/>
      <c r="H106" s="1070"/>
      <c r="I106" s="1070"/>
    </row>
    <row r="107" spans="1:9" ht="15">
      <c r="A107" s="1041" t="s">
        <v>85</v>
      </c>
      <c r="B107" s="1041"/>
      <c r="C107" s="1041"/>
      <c r="D107" s="1041"/>
      <c r="E107" s="1041"/>
      <c r="F107" s="1041"/>
      <c r="H107" s="1070">
        <f>IF('Data Sheet'!F76&gt;0,'Data Sheet'!F76,IF('Data Sheet'!F76&lt;0,0,IF('Data Sheet'!F76="",0,IF('Data Sheet'!F76=0,0))))</f>
        <v>0</v>
      </c>
      <c r="I107" s="1070"/>
    </row>
    <row r="108" spans="1:9" ht="15">
      <c r="A108" s="4"/>
      <c r="B108" s="4"/>
      <c r="C108" s="4"/>
      <c r="D108" s="4"/>
      <c r="E108" s="4"/>
      <c r="F108" s="4"/>
      <c r="H108" s="1070"/>
      <c r="I108" s="1070"/>
    </row>
    <row r="109" spans="1:9" ht="16.5">
      <c r="A109" s="1041" t="s">
        <v>1093</v>
      </c>
      <c r="B109" s="1041"/>
      <c r="C109" s="1041"/>
      <c r="D109" s="1041"/>
      <c r="E109" s="1041"/>
      <c r="F109" s="1041"/>
      <c r="H109" s="1070">
        <f>('Data Sheet'!F153-'Data Sheet'!F154)*'Data Sheet'!F152</f>
        <v>0</v>
      </c>
      <c r="I109" s="1070"/>
    </row>
    <row r="110" spans="1:9">
      <c r="H110" s="1070"/>
      <c r="I110" s="1070"/>
    </row>
    <row r="111" spans="1:9" ht="15">
      <c r="A111" s="1041" t="s">
        <v>86</v>
      </c>
      <c r="B111" s="1041"/>
      <c r="C111" s="1041"/>
      <c r="D111" s="1041"/>
      <c r="E111" s="1041"/>
      <c r="F111" s="1041"/>
      <c r="H111" s="1070">
        <f>IF('Data Sheet'!F47&gt;12000,('Data Sheet'!F47-12000), IF('Data Sheet'!F47&lt;12000,0, IF('Data Sheet'!F47=0,0, IF('Data Sheet'!F47="",0))))</f>
        <v>0</v>
      </c>
      <c r="I111" s="1070"/>
    </row>
    <row r="112" spans="1:9" ht="15.75" thickBot="1">
      <c r="A112" s="1041" t="s">
        <v>87</v>
      </c>
      <c r="B112" s="1041"/>
      <c r="C112" s="1041"/>
      <c r="D112" s="1041"/>
      <c r="E112" s="1041"/>
      <c r="H112" s="1069">
        <f>IF(E45=0,(E45+H83+H99+H101+H103+H105+H107+H109+H88+H111),IF(E45&lt;&gt;0,(E45+H83+H99+H101+H103+H105+H107+H109+H88+H111-E22-E24)))</f>
        <v>0</v>
      </c>
      <c r="I112" s="1069"/>
    </row>
    <row r="113" ht="14.25" thickTop="1"/>
  </sheetData>
  <sheetProtection password="F2F3" sheet="1" objects="1" scenarios="1"/>
  <customSheetViews>
    <customSheetView guid="{BC7AD179-3218-4244-A3F6-4056F6A573C9}">
      <pane ySplit="5" topLeftCell="A6" activePane="bottomLeft" state="frozen"/>
      <selection pane="bottomLeft" activeCell="E14" sqref="E14:I14"/>
      <pageMargins left="0.74803149606299213" right="0.74803149606299213" top="0.78740157480314965" bottom="0.78740157480314965" header="0.51181102362204722" footer="0.51181102362204722"/>
      <pageSetup paperSize="5" orientation="portrait" verticalDpi="300" r:id="rId1"/>
      <headerFooter alignWithMargins="0">
        <oddHeader>&amp;CValuation of Perks&amp;R&amp;P / &amp;N</oddHeader>
      </headerFooter>
    </customSheetView>
  </customSheetViews>
  <mergeCells count="127">
    <mergeCell ref="A1:I1"/>
    <mergeCell ref="A2:I2"/>
    <mergeCell ref="A3:I3"/>
    <mergeCell ref="A5:I5"/>
    <mergeCell ref="F7:G7"/>
    <mergeCell ref="A16:D16"/>
    <mergeCell ref="C7:E7"/>
    <mergeCell ref="A7:B7"/>
    <mergeCell ref="A8:B8"/>
    <mergeCell ref="H7:I7"/>
    <mergeCell ref="J1:S1"/>
    <mergeCell ref="A46:I46"/>
    <mergeCell ref="A27:I27"/>
    <mergeCell ref="A29:D29"/>
    <mergeCell ref="E29:I29"/>
    <mergeCell ref="E22:I22"/>
    <mergeCell ref="E12:I12"/>
    <mergeCell ref="A12:D12"/>
    <mergeCell ref="A11:I11"/>
    <mergeCell ref="H8:I8"/>
    <mergeCell ref="C8:E8"/>
    <mergeCell ref="A25:D26"/>
    <mergeCell ref="J2:O2"/>
    <mergeCell ref="J27:O27"/>
    <mergeCell ref="E18:I18"/>
    <mergeCell ref="E16:I16"/>
    <mergeCell ref="F8:G8"/>
    <mergeCell ref="B24:C24"/>
    <mergeCell ref="A9:B9"/>
    <mergeCell ref="C9:E9"/>
    <mergeCell ref="B22:C22"/>
    <mergeCell ref="A30:D30"/>
    <mergeCell ref="A38:I38"/>
    <mergeCell ref="A42:D43"/>
    <mergeCell ref="B63:D64"/>
    <mergeCell ref="B52:D52"/>
    <mergeCell ref="A36:D36"/>
    <mergeCell ref="E30:I30"/>
    <mergeCell ref="B18:C18"/>
    <mergeCell ref="E25:I25"/>
    <mergeCell ref="A32:D32"/>
    <mergeCell ref="E42:I42"/>
    <mergeCell ref="A33:D33"/>
    <mergeCell ref="A35:D35"/>
    <mergeCell ref="E35:I35"/>
    <mergeCell ref="E33:I33"/>
    <mergeCell ref="E32:I32"/>
    <mergeCell ref="E20:I20"/>
    <mergeCell ref="A34:D34"/>
    <mergeCell ref="E24:I24"/>
    <mergeCell ref="B48:I49"/>
    <mergeCell ref="A45:D45"/>
    <mergeCell ref="E36:I36"/>
    <mergeCell ref="B62:D62"/>
    <mergeCell ref="E34:I34"/>
    <mergeCell ref="E45:I45"/>
    <mergeCell ref="E56:I58"/>
    <mergeCell ref="E40:I40"/>
    <mergeCell ref="A40:D40"/>
    <mergeCell ref="E52:I52"/>
    <mergeCell ref="B56:D58"/>
    <mergeCell ref="B50:I50"/>
    <mergeCell ref="B60:D61"/>
    <mergeCell ref="E59:I59"/>
    <mergeCell ref="B54:I55"/>
    <mergeCell ref="B59:D59"/>
    <mergeCell ref="E60:I61"/>
    <mergeCell ref="H75:I75"/>
    <mergeCell ref="B75:G75"/>
    <mergeCell ref="A84:I87"/>
    <mergeCell ref="B96:C96"/>
    <mergeCell ref="B77:G77"/>
    <mergeCell ref="H77:I77"/>
    <mergeCell ref="E66:I67"/>
    <mergeCell ref="B69:D69"/>
    <mergeCell ref="E69:I69"/>
    <mergeCell ref="B71:I71"/>
    <mergeCell ref="H78:I78"/>
    <mergeCell ref="B66:D67"/>
    <mergeCell ref="H74:I74"/>
    <mergeCell ref="H76:I76"/>
    <mergeCell ref="B73:G73"/>
    <mergeCell ref="H73:I73"/>
    <mergeCell ref="E63:I64"/>
    <mergeCell ref="B65:D65"/>
    <mergeCell ref="E93:F93"/>
    <mergeCell ref="E94:F94"/>
    <mergeCell ref="H79:I79"/>
    <mergeCell ref="H83:I83"/>
    <mergeCell ref="H100:I100"/>
    <mergeCell ref="H101:I101"/>
    <mergeCell ref="H102:I102"/>
    <mergeCell ref="A101:F101"/>
    <mergeCell ref="B81:C81"/>
    <mergeCell ref="A83:G83"/>
    <mergeCell ref="B79:G79"/>
    <mergeCell ref="H81:I81"/>
    <mergeCell ref="E95:F95"/>
    <mergeCell ref="H88:I88"/>
    <mergeCell ref="B94:C94"/>
    <mergeCell ref="A88:F88"/>
    <mergeCell ref="B93:C93"/>
    <mergeCell ref="B90:C90"/>
    <mergeCell ref="E90:F90"/>
    <mergeCell ref="E91:F91"/>
    <mergeCell ref="E92:F92"/>
    <mergeCell ref="B92:C92"/>
    <mergeCell ref="H112:I112"/>
    <mergeCell ref="H107:I107"/>
    <mergeCell ref="H108:I108"/>
    <mergeCell ref="H109:I109"/>
    <mergeCell ref="H110:I110"/>
    <mergeCell ref="A112:E112"/>
    <mergeCell ref="A111:F111"/>
    <mergeCell ref="A99:F99"/>
    <mergeCell ref="B95:C95"/>
    <mergeCell ref="H104:I104"/>
    <mergeCell ref="A103:F103"/>
    <mergeCell ref="H106:I106"/>
    <mergeCell ref="H103:I103"/>
    <mergeCell ref="H111:I111"/>
    <mergeCell ref="A109:F109"/>
    <mergeCell ref="A107:F107"/>
    <mergeCell ref="H105:I105"/>
    <mergeCell ref="A105:F105"/>
    <mergeCell ref="H99:I99"/>
    <mergeCell ref="E96:F96"/>
  </mergeCells>
  <phoneticPr fontId="0" type="noConversion"/>
  <pageMargins left="0.74803149606299202" right="0.74803149606299202" top="0.78740157480314998" bottom="0.78740157480314998" header="0.511811023622047" footer="0.511811023622047"/>
  <pageSetup paperSize="9" scale="80" orientation="portrait" blackAndWhite="1" verticalDpi="300" r:id="rId2"/>
  <headerFooter alignWithMargins="0">
    <oddHeader>&amp;CValuation of Perks&amp;R&amp;P / &amp;N</oddHeader>
  </headerFooter>
</worksheet>
</file>

<file path=xl/worksheets/sheet13.xml><?xml version="1.0" encoding="utf-8"?>
<worksheet xmlns="http://schemas.openxmlformats.org/spreadsheetml/2006/main" xmlns:r="http://schemas.openxmlformats.org/officeDocument/2006/relationships">
  <sheetPr codeName="Sheet4" enableFormatConditionsCalculation="0">
    <tabColor indexed="29"/>
  </sheetPr>
  <dimension ref="A1:N40"/>
  <sheetViews>
    <sheetView workbookViewId="0">
      <selection activeCell="L8" sqref="L8:L19"/>
    </sheetView>
  </sheetViews>
  <sheetFormatPr defaultRowHeight="13.5"/>
  <cols>
    <col min="1" max="1" width="12.85546875" style="2" bestFit="1" customWidth="1"/>
    <col min="2" max="2" width="14.7109375" style="2" bestFit="1" customWidth="1"/>
    <col min="3" max="3" width="13.7109375" style="2" bestFit="1" customWidth="1"/>
    <col min="4" max="4" width="13.85546875" style="2" customWidth="1"/>
    <col min="5" max="5" width="11.140625" style="2" customWidth="1"/>
    <col min="6" max="6" width="13.7109375" style="2" customWidth="1"/>
    <col min="7" max="7" width="12.5703125" style="2" customWidth="1"/>
    <col min="8" max="8" width="13.7109375" style="2" bestFit="1" customWidth="1"/>
    <col min="9" max="9" width="11.140625" style="2" bestFit="1" customWidth="1"/>
    <col min="10" max="10" width="13.7109375" style="2" bestFit="1" customWidth="1"/>
    <col min="11" max="11" width="12.140625" style="2" bestFit="1" customWidth="1"/>
    <col min="12" max="12" width="14.140625" style="2" bestFit="1" customWidth="1"/>
    <col min="13" max="13" width="11.140625" style="2" bestFit="1" customWidth="1"/>
    <col min="14" max="14" width="11.85546875" style="2" customWidth="1"/>
    <col min="15" max="16384" width="9.140625" style="2"/>
  </cols>
  <sheetData>
    <row r="1" spans="1:14" ht="15">
      <c r="A1" s="1042" t="str">
        <f>'Data Sheet'!A1</f>
        <v>UNION BANK OF INDIA</v>
      </c>
      <c r="B1" s="1042"/>
      <c r="C1" s="1042"/>
      <c r="D1" s="1042"/>
      <c r="E1" s="1042"/>
      <c r="F1" s="1042"/>
      <c r="G1" s="1042"/>
      <c r="H1" s="1042"/>
      <c r="I1" s="1042"/>
      <c r="J1" s="1042"/>
      <c r="K1" s="1042"/>
      <c r="L1" s="1042"/>
      <c r="M1" s="1042"/>
    </row>
    <row r="2" spans="1:14" ht="15">
      <c r="A2" s="1042" t="s">
        <v>31</v>
      </c>
      <c r="B2" s="1042"/>
      <c r="C2" s="1042"/>
      <c r="D2" s="1042"/>
      <c r="E2" s="1042"/>
      <c r="F2" s="1042"/>
      <c r="G2" s="1042"/>
      <c r="H2" s="1042"/>
      <c r="I2" s="1042"/>
      <c r="J2" s="1042"/>
      <c r="K2" s="1042"/>
      <c r="L2" s="1042"/>
      <c r="M2" s="1042"/>
    </row>
    <row r="3" spans="1:14" ht="15">
      <c r="A3" s="1041" t="s">
        <v>32</v>
      </c>
      <c r="B3" s="1041"/>
      <c r="C3" s="1107" t="str">
        <f>'Data Sheet'!F24</f>
        <v>2020-2021</v>
      </c>
      <c r="D3" s="1107"/>
      <c r="E3" s="1041" t="s">
        <v>33</v>
      </c>
      <c r="F3" s="1041"/>
      <c r="G3" s="1041">
        <f>'Data Sheet'!F7</f>
        <v>0</v>
      </c>
      <c r="H3" s="1041"/>
      <c r="I3" s="1041"/>
    </row>
    <row r="4" spans="1:14" ht="15">
      <c r="A4" s="1041" t="s">
        <v>7</v>
      </c>
      <c r="B4" s="1041"/>
      <c r="C4" s="1107" t="str">
        <f>'Data Sheet'!F25</f>
        <v>2021-2022</v>
      </c>
      <c r="D4" s="1107"/>
      <c r="E4" s="1041" t="s">
        <v>3</v>
      </c>
      <c r="F4" s="1041"/>
      <c r="G4" s="1071">
        <f>'Data Sheet'!F9</f>
        <v>0</v>
      </c>
      <c r="H4" s="1071"/>
      <c r="I4" s="1071"/>
      <c r="J4" s="1071"/>
    </row>
    <row r="5" spans="1:14" ht="15">
      <c r="A5" s="1111" t="s">
        <v>34</v>
      </c>
      <c r="B5" s="1111"/>
      <c r="C5" s="1111"/>
      <c r="D5" s="1111"/>
      <c r="E5" s="1111"/>
      <c r="F5" s="1111"/>
      <c r="G5" s="1111"/>
      <c r="H5" s="1111"/>
      <c r="I5" s="1111"/>
      <c r="J5" s="1111"/>
      <c r="K5" s="1111"/>
      <c r="L5" s="1111"/>
      <c r="M5" s="1111"/>
    </row>
    <row r="6" spans="1:14" s="5" customFormat="1" ht="15">
      <c r="A6" s="1119" t="s">
        <v>10</v>
      </c>
      <c r="B6" s="1114" t="s">
        <v>305</v>
      </c>
      <c r="C6" s="1114"/>
      <c r="D6" s="1114" t="s">
        <v>505</v>
      </c>
      <c r="E6" s="1114"/>
      <c r="F6" s="1116" t="s">
        <v>37</v>
      </c>
      <c r="G6" s="1116"/>
      <c r="H6" s="1114" t="s">
        <v>506</v>
      </c>
      <c r="I6" s="1114"/>
      <c r="J6" s="1114" t="s">
        <v>1055</v>
      </c>
      <c r="K6" s="1114"/>
      <c r="L6" s="1120" t="s">
        <v>1061</v>
      </c>
      <c r="M6" s="1120"/>
      <c r="N6" s="1118" t="s">
        <v>41</v>
      </c>
    </row>
    <row r="7" spans="1:14" s="21" customFormat="1" ht="60">
      <c r="A7" s="1119"/>
      <c r="B7" s="12" t="s">
        <v>42</v>
      </c>
      <c r="C7" s="324" t="s">
        <v>1087</v>
      </c>
      <c r="D7" s="12" t="s">
        <v>42</v>
      </c>
      <c r="E7" s="317" t="s">
        <v>1069</v>
      </c>
      <c r="F7" s="271" t="s">
        <v>963</v>
      </c>
      <c r="G7" s="341" t="s">
        <v>1130</v>
      </c>
      <c r="H7" s="274" t="s">
        <v>42</v>
      </c>
      <c r="I7" s="323" t="s">
        <v>1089</v>
      </c>
      <c r="J7" s="12" t="s">
        <v>42</v>
      </c>
      <c r="K7" s="324" t="s">
        <v>1088</v>
      </c>
      <c r="L7" s="320" t="s">
        <v>1070</v>
      </c>
      <c r="M7" s="341" t="s">
        <v>1131</v>
      </c>
      <c r="N7" s="1118"/>
    </row>
    <row r="8" spans="1:14">
      <c r="A8" s="26">
        <f>'Earnings Sheet'!C5</f>
        <v>43922</v>
      </c>
      <c r="B8" s="64"/>
      <c r="C8" s="272">
        <f>IF('Data Sheet'!$F$10="Female",B8*8.35/1200, B8*8.4/1200)</f>
        <v>0</v>
      </c>
      <c r="D8" s="64"/>
      <c r="E8" s="15">
        <f>IF('Data Sheet'!$F$10="Female",D8*8.55/1200, D8*8.6/1200)</f>
        <v>0</v>
      </c>
      <c r="F8" s="332"/>
      <c r="G8" s="15">
        <f>F8*11.1/8.28</f>
        <v>0</v>
      </c>
      <c r="H8" s="64"/>
      <c r="I8" s="15">
        <f>IF('Data Sheet'!$F$10="Female",H8*9.25/1200, H8*9.3/1200)</f>
        <v>0</v>
      </c>
      <c r="J8" s="65"/>
      <c r="K8" s="15">
        <f>IF('Data Sheet'!$F$10="Male", J8*10.15/1200,J8*10.15/1200)</f>
        <v>0</v>
      </c>
      <c r="L8" s="65"/>
      <c r="M8" s="15">
        <f>IF(L8&lt;20000,0,L8*10.6/1200)</f>
        <v>0</v>
      </c>
      <c r="N8" s="27"/>
    </row>
    <row r="9" spans="1:14">
      <c r="A9" s="26">
        <f>'Earnings Sheet'!C6</f>
        <v>43952</v>
      </c>
      <c r="B9" s="64"/>
      <c r="C9" s="272">
        <f>IF('Data Sheet'!$F$10="Female",B9*8.35/1200, B9*8.4/1200)</f>
        <v>0</v>
      </c>
      <c r="D9" s="64"/>
      <c r="E9" s="15">
        <f>IF('Data Sheet'!$F$10="Female",D9*8.55/1200, D9*8.6/1200)</f>
        <v>0</v>
      </c>
      <c r="F9" s="332"/>
      <c r="G9" s="15">
        <f t="shared" ref="G9:G10" si="0">F9*11.1/8.28</f>
        <v>0</v>
      </c>
      <c r="H9" s="64"/>
      <c r="I9" s="15">
        <f>IF('Data Sheet'!$F$10="Female",H9*9.25/1200, H9*9.3/1200)</f>
        <v>0</v>
      </c>
      <c r="J9" s="65"/>
      <c r="K9" s="15">
        <f>IF('Data Sheet'!$F$10="Male", J9*10.15/1200,J9*10.15/1200)</f>
        <v>0</v>
      </c>
      <c r="L9" s="65"/>
      <c r="M9" s="15">
        <f t="shared" ref="M9:M19" si="1">IF(L9&lt;20000,0,L9*10.6/1200)</f>
        <v>0</v>
      </c>
      <c r="N9" s="27"/>
    </row>
    <row r="10" spans="1:14">
      <c r="A10" s="26">
        <f>'Earnings Sheet'!C7</f>
        <v>43983</v>
      </c>
      <c r="B10" s="64"/>
      <c r="C10" s="272">
        <f>IF('Data Sheet'!$F$10="Female",B10*8.35/1200, B10*8.4/1200)</f>
        <v>0</v>
      </c>
      <c r="D10" s="64"/>
      <c r="E10" s="15">
        <f>IF('Data Sheet'!$F$10="Female",D10*8.55/1200, D10*8.6/1200)</f>
        <v>0</v>
      </c>
      <c r="F10" s="332"/>
      <c r="G10" s="15">
        <f t="shared" si="0"/>
        <v>0</v>
      </c>
      <c r="H10" s="64"/>
      <c r="I10" s="15">
        <f>IF('Data Sheet'!$F$10="Female",H10*9.25/1200, H10*9.3/1200)</f>
        <v>0</v>
      </c>
      <c r="J10" s="65"/>
      <c r="K10" s="15">
        <f>IF('Data Sheet'!$F$10="Male", J10*10.15/1200,J10*10.15/1200)</f>
        <v>0</v>
      </c>
      <c r="L10" s="65"/>
      <c r="M10" s="15">
        <f t="shared" si="1"/>
        <v>0</v>
      </c>
      <c r="N10" s="27"/>
    </row>
    <row r="11" spans="1:14">
      <c r="A11" s="26">
        <f>'Earnings Sheet'!C8</f>
        <v>44013</v>
      </c>
      <c r="B11" s="64"/>
      <c r="C11" s="272">
        <f>IF('Data Sheet'!$F$10="Female",B11*8.35/1200, B11*8.4/1200)</f>
        <v>0</v>
      </c>
      <c r="D11" s="64"/>
      <c r="E11" s="15">
        <f>IF('Data Sheet'!$F$10="Female",D11*8.55/1200, D11*8.6/1200)</f>
        <v>0</v>
      </c>
      <c r="F11" s="332"/>
      <c r="G11" s="15">
        <f>F11*11.1/7</f>
        <v>0</v>
      </c>
      <c r="H11" s="64"/>
      <c r="I11" s="15">
        <f>IF('Data Sheet'!$F$10="Female",H11*9.25/1200, H11*9.3/1200)</f>
        <v>0</v>
      </c>
      <c r="J11" s="65"/>
      <c r="K11" s="15">
        <f>IF('Data Sheet'!$F$10="Male", J11*10.15/1200,J11*10.15/1200)</f>
        <v>0</v>
      </c>
      <c r="L11" s="65"/>
      <c r="M11" s="15">
        <f t="shared" si="1"/>
        <v>0</v>
      </c>
      <c r="N11" s="27"/>
    </row>
    <row r="12" spans="1:14">
      <c r="A12" s="26">
        <f>'Earnings Sheet'!C9</f>
        <v>44044</v>
      </c>
      <c r="B12" s="64"/>
      <c r="C12" s="272">
        <f>IF('Data Sheet'!$F$10="Female",B12*8.35/1200, B12*8.4/1200)</f>
        <v>0</v>
      </c>
      <c r="D12" s="64"/>
      <c r="E12" s="15">
        <f>IF('Data Sheet'!$F$10="Female",D12*8.55/1200, D12*8.6/1200)</f>
        <v>0</v>
      </c>
      <c r="F12" s="332"/>
      <c r="G12" s="15">
        <f t="shared" ref="G12:G19" si="2">F12*11.1/7</f>
        <v>0</v>
      </c>
      <c r="H12" s="64"/>
      <c r="I12" s="15">
        <f>IF('Data Sheet'!$F$10="Female",H12*9.25/1200, H12*9.3/1200)</f>
        <v>0</v>
      </c>
      <c r="J12" s="65"/>
      <c r="K12" s="15">
        <f>IF('Data Sheet'!$F$10="Male", J12*10.15/1200,J12*10.15/1200)</f>
        <v>0</v>
      </c>
      <c r="L12" s="65"/>
      <c r="M12" s="15">
        <f t="shared" si="1"/>
        <v>0</v>
      </c>
      <c r="N12" s="27"/>
    </row>
    <row r="13" spans="1:14">
      <c r="A13" s="26">
        <f>'Earnings Sheet'!C10</f>
        <v>44075</v>
      </c>
      <c r="B13" s="64"/>
      <c r="C13" s="272">
        <f>IF('Data Sheet'!$F$10="Female",B13*8.35/1200, B13*8.4/1200)</f>
        <v>0</v>
      </c>
      <c r="D13" s="64"/>
      <c r="E13" s="15">
        <f>IF('Data Sheet'!$F$10="Female",D13*8.55/1200, D13*8.6/1200)</f>
        <v>0</v>
      </c>
      <c r="F13" s="332"/>
      <c r="G13" s="15">
        <f t="shared" si="2"/>
        <v>0</v>
      </c>
      <c r="H13" s="64"/>
      <c r="I13" s="15">
        <f>IF('Data Sheet'!$F$10="Female",H13*9.25/1200, H13*9.3/1200)</f>
        <v>0</v>
      </c>
      <c r="J13" s="65"/>
      <c r="K13" s="15">
        <f>IF('Data Sheet'!$F$10="Male", J13*10.15/1200,J13*10.15/1200)</f>
        <v>0</v>
      </c>
      <c r="L13" s="65"/>
      <c r="M13" s="15">
        <f t="shared" si="1"/>
        <v>0</v>
      </c>
      <c r="N13" s="27"/>
    </row>
    <row r="14" spans="1:14">
      <c r="A14" s="26">
        <f>'Earnings Sheet'!C11</f>
        <v>44105</v>
      </c>
      <c r="B14" s="64"/>
      <c r="C14" s="272">
        <f>IF('Data Sheet'!$F$10="Female",B14*8.35/1200, B14*8.4/1200)</f>
        <v>0</v>
      </c>
      <c r="D14" s="64"/>
      <c r="E14" s="15">
        <f>IF('Data Sheet'!$F$10="Female",D14*8.55/1200, D14*8.6/1200)</f>
        <v>0</v>
      </c>
      <c r="F14" s="332"/>
      <c r="G14" s="15">
        <f t="shared" si="2"/>
        <v>0</v>
      </c>
      <c r="H14" s="64"/>
      <c r="I14" s="15">
        <f>IF('Data Sheet'!$F$10="Female",H14*9.25/1200, H14*9.3/1200)</f>
        <v>0</v>
      </c>
      <c r="J14" s="65"/>
      <c r="K14" s="15">
        <f>IF('Data Sheet'!$F$10="Male", J14*10.15/1200,J14*10.15/1200)</f>
        <v>0</v>
      </c>
      <c r="L14" s="65"/>
      <c r="M14" s="15">
        <f t="shared" si="1"/>
        <v>0</v>
      </c>
      <c r="N14" s="27"/>
    </row>
    <row r="15" spans="1:14">
      <c r="A15" s="26">
        <f>'Earnings Sheet'!C12</f>
        <v>44136</v>
      </c>
      <c r="B15" s="64"/>
      <c r="C15" s="272">
        <f>IF('Data Sheet'!$F$10="Female",B15*8.35/1200, B15*8.4/1200)</f>
        <v>0</v>
      </c>
      <c r="D15" s="64"/>
      <c r="E15" s="15">
        <f>IF('Data Sheet'!$F$10="Female",D15*8.55/1200, D15*8.6/1200)</f>
        <v>0</v>
      </c>
      <c r="F15" s="332"/>
      <c r="G15" s="15">
        <f t="shared" si="2"/>
        <v>0</v>
      </c>
      <c r="H15" s="64"/>
      <c r="I15" s="15">
        <f>IF('Data Sheet'!$F$10="Female",H15*9.25/1200, H15*9.3/1200)</f>
        <v>0</v>
      </c>
      <c r="J15" s="65"/>
      <c r="K15" s="15">
        <f>IF('Data Sheet'!$F$10="Male", J15*10.15/1200,J15*10.15/1200)</f>
        <v>0</v>
      </c>
      <c r="L15" s="65"/>
      <c r="M15" s="15">
        <f t="shared" si="1"/>
        <v>0</v>
      </c>
      <c r="N15" s="27"/>
    </row>
    <row r="16" spans="1:14">
      <c r="A16" s="26">
        <f>'Earnings Sheet'!C13</f>
        <v>44166</v>
      </c>
      <c r="B16" s="64"/>
      <c r="C16" s="272">
        <f>IF('Data Sheet'!$F$10="Female",B16*8.35/1200, B16*8.4/1200)</f>
        <v>0</v>
      </c>
      <c r="D16" s="64"/>
      <c r="E16" s="15">
        <f>IF('Data Sheet'!$F$10="Female",D16*8.55/1200, D16*8.6/1200)</f>
        <v>0</v>
      </c>
      <c r="F16" s="332"/>
      <c r="G16" s="15">
        <f t="shared" si="2"/>
        <v>0</v>
      </c>
      <c r="H16" s="64"/>
      <c r="I16" s="15">
        <f>IF('Data Sheet'!$F$10="Female",H16*9.25/1200, H16*9.3/1200)</f>
        <v>0</v>
      </c>
      <c r="J16" s="65"/>
      <c r="K16" s="15">
        <f>IF('Data Sheet'!$F$10="Male", J16*10.15/1200,J16*10.15/1200)</f>
        <v>0</v>
      </c>
      <c r="L16" s="65"/>
      <c r="M16" s="15">
        <f t="shared" si="1"/>
        <v>0</v>
      </c>
      <c r="N16" s="27"/>
    </row>
    <row r="17" spans="1:14">
      <c r="A17" s="26">
        <f>'Earnings Sheet'!C14</f>
        <v>44197</v>
      </c>
      <c r="B17" s="64"/>
      <c r="C17" s="272">
        <f>IF('Data Sheet'!$F$10="Female",B17*8.35/1200, B17*8.4/1200)</f>
        <v>0</v>
      </c>
      <c r="D17" s="64"/>
      <c r="E17" s="15">
        <f>IF('Data Sheet'!$F$10="Female",D17*8.55/1200, D17*8.6/1200)</f>
        <v>0</v>
      </c>
      <c r="F17" s="332"/>
      <c r="G17" s="15">
        <f t="shared" si="2"/>
        <v>0</v>
      </c>
      <c r="H17" s="64"/>
      <c r="I17" s="15">
        <f>IF('Data Sheet'!$F$10="Female",H17*9.25/1200, H17*9.3/1200)</f>
        <v>0</v>
      </c>
      <c r="J17" s="65"/>
      <c r="K17" s="15">
        <f>IF('Data Sheet'!$F$10="Male", J17*10.15/1200,J17*10.15/1200)</f>
        <v>0</v>
      </c>
      <c r="L17" s="65"/>
      <c r="M17" s="15">
        <f t="shared" si="1"/>
        <v>0</v>
      </c>
      <c r="N17" s="27"/>
    </row>
    <row r="18" spans="1:14">
      <c r="A18" s="26">
        <f>'Earnings Sheet'!C15</f>
        <v>44228</v>
      </c>
      <c r="B18" s="64"/>
      <c r="C18" s="272">
        <f>IF('Data Sheet'!$F$10="Female",B18*8.35/1200, B18*8.4/1200)</f>
        <v>0</v>
      </c>
      <c r="D18" s="64"/>
      <c r="E18" s="15">
        <f>IF('Data Sheet'!$F$10="Female",D18*8.55/1200, D18*8.6/1200)</f>
        <v>0</v>
      </c>
      <c r="F18" s="332"/>
      <c r="G18" s="15">
        <f t="shared" si="2"/>
        <v>0</v>
      </c>
      <c r="H18" s="64"/>
      <c r="I18" s="15">
        <f>IF('Data Sheet'!$F$10="Female",H18*9.25/1200, H18*9.3/1200)</f>
        <v>0</v>
      </c>
      <c r="J18" s="65"/>
      <c r="K18" s="15">
        <f>IF('Data Sheet'!$F$10="Male", J18*10.15/1200,J18*10.15/1200)</f>
        <v>0</v>
      </c>
      <c r="L18" s="65"/>
      <c r="M18" s="15">
        <f t="shared" si="1"/>
        <v>0</v>
      </c>
      <c r="N18" s="27"/>
    </row>
    <row r="19" spans="1:14">
      <c r="A19" s="26">
        <f>'Earnings Sheet'!C16</f>
        <v>44256</v>
      </c>
      <c r="B19" s="64"/>
      <c r="C19" s="272">
        <f>IF('Data Sheet'!$F$10="Female",B19*8.35/1200, B19*8.4/1200)</f>
        <v>0</v>
      </c>
      <c r="D19" s="64"/>
      <c r="E19" s="15">
        <f>IF('Data Sheet'!$F$10="Female",D19*8.55/1200, D19*8.6/1200)</f>
        <v>0</v>
      </c>
      <c r="F19" s="332"/>
      <c r="G19" s="15">
        <f t="shared" si="2"/>
        <v>0</v>
      </c>
      <c r="H19" s="64"/>
      <c r="I19" s="15">
        <f>IF('Data Sheet'!$F$10="Female",H19*9.25/1200, H19*9.3/1200)</f>
        <v>0</v>
      </c>
      <c r="J19" s="65"/>
      <c r="K19" s="15">
        <f>IF('Data Sheet'!$F$10="Male", J19*10.15/1200,J19*10.15/1200)</f>
        <v>0</v>
      </c>
      <c r="L19" s="65"/>
      <c r="M19" s="15">
        <f t="shared" si="1"/>
        <v>0</v>
      </c>
      <c r="N19" s="27"/>
    </row>
    <row r="20" spans="1:14" s="28" customFormat="1" ht="15">
      <c r="A20" s="13" t="s">
        <v>26</v>
      </c>
      <c r="B20" s="14"/>
      <c r="C20" s="273">
        <f>SUM(C8:C19)</f>
        <v>0</v>
      </c>
      <c r="D20" s="64"/>
      <c r="E20" s="273">
        <f>SUM(E8:E19)</f>
        <v>0</v>
      </c>
      <c r="F20" s="333">
        <f>F22*1/3</f>
        <v>0</v>
      </c>
      <c r="G20" s="14">
        <f>SUM(G8:G19)</f>
        <v>0</v>
      </c>
      <c r="H20" s="16">
        <v>0</v>
      </c>
      <c r="I20" s="15">
        <f>IF('Data Sheet'!$F$10="Female",H20*9.25/1200, H20*9.3/1200)</f>
        <v>0</v>
      </c>
      <c r="J20" s="17">
        <v>0</v>
      </c>
      <c r="K20" s="15">
        <f>IF('Data Sheet'!$F$10="Male", J20*10.1/1200,J20*10.1/1200)</f>
        <v>0</v>
      </c>
      <c r="L20" s="17">
        <v>0</v>
      </c>
      <c r="M20" s="14">
        <f>SUM(M8:M19)</f>
        <v>0</v>
      </c>
      <c r="N20" s="13"/>
    </row>
    <row r="21" spans="1:14">
      <c r="A21" s="27"/>
      <c r="B21" s="15"/>
      <c r="C21" s="15"/>
      <c r="D21" s="15"/>
      <c r="E21" s="15"/>
      <c r="F21" s="15"/>
      <c r="G21" s="15"/>
      <c r="H21" s="15"/>
      <c r="I21" s="15"/>
      <c r="J21" s="15"/>
      <c r="K21" s="15"/>
      <c r="L21" s="15"/>
      <c r="M21" s="15"/>
      <c r="N21" s="27"/>
    </row>
    <row r="22" spans="1:14" ht="15">
      <c r="A22" s="1114" t="s">
        <v>43</v>
      </c>
      <c r="B22" s="1114"/>
      <c r="C22" s="27"/>
      <c r="D22" s="27"/>
      <c r="E22" s="27"/>
      <c r="F22" s="27"/>
      <c r="G22" s="27"/>
      <c r="H22" s="27"/>
      <c r="I22" s="27"/>
      <c r="J22" s="27"/>
      <c r="K22" s="27"/>
      <c r="L22" s="27"/>
      <c r="M22" s="27"/>
      <c r="N22" s="27"/>
    </row>
    <row r="23" spans="1:14">
      <c r="A23" s="26">
        <f>A13</f>
        <v>44075</v>
      </c>
      <c r="B23" s="319"/>
      <c r="C23" s="27"/>
      <c r="D23" s="275"/>
      <c r="E23" s="27"/>
      <c r="F23" s="66">
        <f>SUM(F8:F13)</f>
        <v>0</v>
      </c>
      <c r="G23" s="27"/>
      <c r="H23" s="275"/>
      <c r="I23" s="27"/>
      <c r="J23" s="275"/>
      <c r="K23" s="27"/>
      <c r="L23" s="275"/>
      <c r="M23" s="27"/>
      <c r="N23" s="27"/>
    </row>
    <row r="24" spans="1:14">
      <c r="A24" s="26">
        <f>A19</f>
        <v>44256</v>
      </c>
      <c r="B24" s="319"/>
      <c r="C24" s="27"/>
      <c r="D24" s="275"/>
      <c r="E24" s="27"/>
      <c r="F24" s="66">
        <f>SUM(F14:F19)</f>
        <v>0</v>
      </c>
      <c r="G24" s="27"/>
      <c r="H24" s="275">
        <f>(H14+H15+H16+H17+H18+H19)*4/1200</f>
        <v>0</v>
      </c>
      <c r="I24" s="27"/>
      <c r="J24" s="275"/>
      <c r="K24" s="27"/>
      <c r="L24" s="275"/>
      <c r="M24" s="27"/>
      <c r="N24" s="27"/>
    </row>
    <row r="25" spans="1:14" s="5" customFormat="1" ht="15.75" thickBot="1">
      <c r="A25" s="29" t="s">
        <v>44</v>
      </c>
      <c r="B25" s="14">
        <f>B23+B24</f>
        <v>0</v>
      </c>
      <c r="C25" s="30"/>
      <c r="D25" s="16">
        <f>D23+D24</f>
        <v>0</v>
      </c>
      <c r="E25" s="30"/>
      <c r="F25" s="16">
        <f>F23+F24</f>
        <v>0</v>
      </c>
      <c r="G25" s="30"/>
      <c r="H25" s="31">
        <f>H23+H24</f>
        <v>0</v>
      </c>
      <c r="I25" s="30"/>
      <c r="J25" s="31">
        <f>J23+J24</f>
        <v>0</v>
      </c>
      <c r="K25" s="30"/>
      <c r="L25" s="16">
        <f>L23+L24</f>
        <v>0</v>
      </c>
      <c r="M25" s="30"/>
      <c r="N25" s="29"/>
    </row>
    <row r="26" spans="1:14" s="5" customFormat="1" ht="16.5" thickTop="1" thickBot="1">
      <c r="A26" s="29" t="s">
        <v>45</v>
      </c>
      <c r="B26" s="32"/>
      <c r="C26" s="33">
        <f>IF((C20-B25)=0,0, IF((C20-B25)&gt;0,(C20-B25),IF((C20-B25)&lt;0,0,IF(C20="",0))))</f>
        <v>0</v>
      </c>
      <c r="D26" s="34"/>
      <c r="E26" s="35">
        <f>E20-D25</f>
        <v>0</v>
      </c>
      <c r="F26" s="34"/>
      <c r="G26" s="35">
        <f>G20-F25</f>
        <v>0</v>
      </c>
      <c r="H26" s="34"/>
      <c r="I26" s="35">
        <f>I20-H25</f>
        <v>0</v>
      </c>
      <c r="J26" s="34"/>
      <c r="K26" s="35">
        <f>K20-J25</f>
        <v>0</v>
      </c>
      <c r="L26" s="34"/>
      <c r="M26" s="35">
        <f>M20-L25</f>
        <v>0</v>
      </c>
      <c r="N26" s="36">
        <f>C26+E26+G26+I26+K26+M26</f>
        <v>0</v>
      </c>
    </row>
    <row r="27" spans="1:14" ht="15.75" thickTop="1">
      <c r="G27" s="1"/>
    </row>
    <row r="28" spans="1:14">
      <c r="A28" s="1117" t="s">
        <v>218</v>
      </c>
      <c r="B28" s="1117"/>
      <c r="C28" s="1117"/>
      <c r="D28" s="1117"/>
      <c r="E28" s="1117"/>
      <c r="F28" s="1117"/>
      <c r="G28" s="1117"/>
      <c r="H28" s="1117"/>
      <c r="I28" s="1115" t="s">
        <v>181</v>
      </c>
      <c r="J28" s="1115"/>
      <c r="K28" s="1115"/>
      <c r="L28" s="1115"/>
      <c r="M28" s="1115"/>
      <c r="N28" s="1115"/>
    </row>
    <row r="29" spans="1:14">
      <c r="A29" s="1117"/>
      <c r="B29" s="1117"/>
      <c r="C29" s="1117"/>
      <c r="D29" s="1117"/>
      <c r="E29" s="1117"/>
      <c r="F29" s="1117"/>
      <c r="G29" s="1117"/>
      <c r="H29" s="1117"/>
      <c r="I29" s="1115"/>
      <c r="J29" s="1115"/>
      <c r="K29" s="1115"/>
      <c r="L29" s="1115"/>
      <c r="M29" s="1115"/>
      <c r="N29" s="1115"/>
    </row>
    <row r="30" spans="1:14">
      <c r="A30" s="1117"/>
      <c r="B30" s="1117"/>
      <c r="C30" s="1117"/>
      <c r="D30" s="1117"/>
      <c r="E30" s="1117"/>
      <c r="F30" s="1117"/>
      <c r="G30" s="1117"/>
      <c r="H30" s="1117"/>
      <c r="I30" s="1115"/>
      <c r="J30" s="1115"/>
      <c r="K30" s="1115"/>
      <c r="L30" s="1115"/>
      <c r="M30" s="1115"/>
      <c r="N30" s="1115"/>
    </row>
    <row r="31" spans="1:14">
      <c r="A31" s="1112" t="s">
        <v>1092</v>
      </c>
      <c r="B31" s="1113"/>
      <c r="C31" s="1113"/>
      <c r="D31" s="1113"/>
      <c r="E31" s="1113"/>
      <c r="F31" s="1113"/>
      <c r="G31" s="1113"/>
      <c r="H31" s="1113"/>
    </row>
    <row r="32" spans="1:14">
      <c r="A32" s="1113"/>
      <c r="B32" s="1113"/>
      <c r="C32" s="1113"/>
      <c r="D32" s="1113"/>
      <c r="E32" s="1113"/>
      <c r="F32" s="1113"/>
      <c r="G32" s="1113"/>
      <c r="H32" s="1113"/>
    </row>
    <row r="33" spans="1:8">
      <c r="A33" s="1113"/>
      <c r="B33" s="1113"/>
      <c r="C33" s="1113"/>
      <c r="D33" s="1113"/>
      <c r="E33" s="1113"/>
      <c r="F33" s="1113"/>
      <c r="G33" s="1113"/>
      <c r="H33" s="1113"/>
    </row>
    <row r="34" spans="1:8">
      <c r="A34" s="1113"/>
      <c r="B34" s="1113"/>
      <c r="C34" s="1113"/>
      <c r="D34" s="1113"/>
      <c r="E34" s="1113"/>
      <c r="F34" s="1113"/>
      <c r="G34" s="1113"/>
      <c r="H34" s="1113"/>
    </row>
    <row r="35" spans="1:8">
      <c r="A35" s="1113"/>
      <c r="B35" s="1113"/>
      <c r="C35" s="1113"/>
      <c r="D35" s="1113"/>
      <c r="E35" s="1113"/>
      <c r="F35" s="1113"/>
      <c r="G35" s="1113"/>
      <c r="H35" s="1113"/>
    </row>
    <row r="36" spans="1:8">
      <c r="A36" s="1113"/>
      <c r="B36" s="1113"/>
      <c r="C36" s="1113"/>
      <c r="D36" s="1113"/>
      <c r="E36" s="1113"/>
      <c r="F36" s="1113"/>
      <c r="G36" s="1113"/>
      <c r="H36" s="1113"/>
    </row>
    <row r="37" spans="1:8">
      <c r="A37" s="1113"/>
      <c r="B37" s="1113"/>
      <c r="C37" s="1113"/>
      <c r="D37" s="1113"/>
      <c r="E37" s="1113"/>
      <c r="F37" s="1113"/>
      <c r="G37" s="1113"/>
      <c r="H37" s="1113"/>
    </row>
    <row r="38" spans="1:8">
      <c r="A38" s="1113"/>
      <c r="B38" s="1113"/>
      <c r="C38" s="1113"/>
      <c r="D38" s="1113"/>
      <c r="E38" s="1113"/>
      <c r="F38" s="1113"/>
      <c r="G38" s="1113"/>
      <c r="H38" s="1113"/>
    </row>
    <row r="39" spans="1:8">
      <c r="A39" s="1113"/>
      <c r="B39" s="1113"/>
      <c r="C39" s="1113"/>
      <c r="D39" s="1113"/>
      <c r="E39" s="1113"/>
      <c r="F39" s="1113"/>
      <c r="G39" s="1113"/>
      <c r="H39" s="1113"/>
    </row>
    <row r="40" spans="1:8">
      <c r="A40" s="1113"/>
      <c r="B40" s="1113"/>
      <c r="C40" s="1113"/>
      <c r="D40" s="1113"/>
      <c r="E40" s="1113"/>
      <c r="F40" s="1113"/>
      <c r="G40" s="1113"/>
      <c r="H40" s="1113"/>
    </row>
  </sheetData>
  <sheetProtection password="F2F3" sheet="1" objects="1" scenarios="1" formatCells="0" formatColumns="0" formatRows="0" insertColumns="0" insertRows="0"/>
  <customSheetViews>
    <customSheetView guid="{BC7AD179-3218-4244-A3F6-4056F6A573C9}">
      <pane xSplit="1" ySplit="7" topLeftCell="D8" activePane="bottomRight" state="frozen"/>
      <selection pane="bottomRight" activeCell="B8" sqref="B8"/>
      <pageMargins left="0.15748031496062992" right="0.35433070866141736" top="0.98425196850393704" bottom="0.98425196850393704" header="0.51181102362204722" footer="0.51181102362204722"/>
      <printOptions horizontalCentered="1"/>
      <pageSetup paperSize="5" orientation="landscape" verticalDpi="300" r:id="rId1"/>
      <headerFooter alignWithMargins="0"/>
    </customSheetView>
  </customSheetViews>
  <mergeCells count="23">
    <mergeCell ref="A1:M1"/>
    <mergeCell ref="A2:M2"/>
    <mergeCell ref="A5:M5"/>
    <mergeCell ref="A6:A7"/>
    <mergeCell ref="B6:C6"/>
    <mergeCell ref="J6:K6"/>
    <mergeCell ref="L6:M6"/>
    <mergeCell ref="A31:H40"/>
    <mergeCell ref="G3:I3"/>
    <mergeCell ref="C3:D3"/>
    <mergeCell ref="C4:D4"/>
    <mergeCell ref="E3:F3"/>
    <mergeCell ref="A3:B3"/>
    <mergeCell ref="A4:B4"/>
    <mergeCell ref="D6:E6"/>
    <mergeCell ref="G4:J4"/>
    <mergeCell ref="E4:F4"/>
    <mergeCell ref="I28:N30"/>
    <mergeCell ref="F6:G6"/>
    <mergeCell ref="H6:I6"/>
    <mergeCell ref="A28:H30"/>
    <mergeCell ref="A22:B22"/>
    <mergeCell ref="N6:N7"/>
  </mergeCells>
  <phoneticPr fontId="0" type="noConversion"/>
  <dataValidations count="14">
    <dataValidation allowBlank="1" showInputMessage="1" showErrorMessage="1" promptTitle="ENTER VALUES" prompt="Please enter the Actual interest charged in the loan account for Sep 17/Mar 18 respectively.  " sqref="D24"/>
    <dataValidation allowBlank="1" showInputMessage="1" showErrorMessage="1" promptTitle="ENTER MAXIMUM BALANCE" prompt="Upon finding out the Principal amount outstanding as at the end of 31 Mar 2017, fill in the amount." sqref="B9:B19"/>
    <dataValidation allowBlank="1" showInputMessage="1" showErrorMessage="1" promptTitle="ENTER VALUES" prompt="Please enter the Actual interest charged in the loan account for Sep 17/Mar 18 respectively.  " sqref="D23"/>
    <dataValidation allowBlank="1" showInputMessage="1" showErrorMessage="1" promptTitle="Int Rates of SBI [wef 1.4.18]" prompt="SBI rates as on 1.4.2018 Women Borrowers:8.35% Other Borrowers: 8.40%" sqref="C7"/>
    <dataValidation allowBlank="1" showInputMessage="1" showErrorMessage="1" promptTitle="Enter values" prompt="Upon finding out the Principal amount outstanding as at the end of 31 Mar 2016, fill in the amount." sqref="D20"/>
    <dataValidation allowBlank="1" showInputMessage="1" showErrorMessage="1" promptTitle="Enter values" prompt="Upon finding out the Principal amount outstanding as at the end of 31 Mar 2017, fill in the amount." sqref="J8:J19"/>
    <dataValidation allowBlank="1" showInputMessage="1" showErrorMessage="1" promptTitle="Enter values" prompt="Upon finding out the Principal amount outstanding as at the end of 31 Mar 2017, fill in the amount. " sqref="H8:H19"/>
    <dataValidation allowBlank="1" showInputMessage="1" showErrorMessage="1" prompt="Please enter the Actual interest charged in the loan account for Sep 16 respectively. " sqref="F23"/>
    <dataValidation allowBlank="1" showInputMessage="1" showErrorMessage="1" prompt="Please enter the Actual interest charged in the loan account for Mar 17 respectively. " sqref="F24"/>
    <dataValidation allowBlank="1" showInputMessage="1" showErrorMessage="1" promptTitle="Caution!!!" prompt="Do not enter any value in the field. It is a calculated fied" sqref="F20"/>
    <dataValidation allowBlank="1" showInputMessage="1" showErrorMessage="1" prompt="Please enter the Actual interest charged in the loan account for Sep 17/Mar 18 respectively. " sqref="H23:H24 J23:J24 L23:L24"/>
    <dataValidation allowBlank="1" showInputMessage="1" showErrorMessage="1" promptTitle="ENTER MAXIMUM BALANCE" prompt="Upon finding out the Principal amount outstanding as at the end of 31 Mar 2017, fill in the amount." sqref="B8"/>
    <dataValidation allowBlank="1" showInputMessage="1" showErrorMessage="1" promptTitle="Enter values" prompt="Upon finding out the Principal amount outstanding as at the end of 31 Mar 2017, fill in the amount." sqref="D8:D19"/>
    <dataValidation allowBlank="1" showInputMessage="1" showErrorMessage="1" promptTitle="Enter values" prompt="Upon finding out the Principal amount outstanding as at the end of 31 Mar 2018, fill in the amount." sqref="L8:L19"/>
  </dataValidations>
  <hyperlinks>
    <hyperlink ref="I28:N30" location="'Data Sheet'!A1" tooltip="Click on the link to return to Data Sheet. Else if you close the worksheet, the  entire workbook will be closed.Ensure to Save before closing the worksheet." display="Click here to return to Data Sheet"/>
  </hyperlinks>
  <printOptions horizontalCentered="1"/>
  <pageMargins left="0.15748031496063" right="0.35433070866141703" top="0.98425196850393704" bottom="0.98425196850393704" header="0.511811023622047" footer="0.511811023622047"/>
  <pageSetup paperSize="9" scale="80" orientation="landscape" verticalDpi="300" r:id="rId2"/>
  <headerFooter alignWithMargins="0"/>
</worksheet>
</file>

<file path=xl/worksheets/sheet14.xml><?xml version="1.0" encoding="utf-8"?>
<worksheet xmlns="http://schemas.openxmlformats.org/spreadsheetml/2006/main" xmlns:r="http://schemas.openxmlformats.org/officeDocument/2006/relationships">
  <sheetPr codeName="Sheet16">
    <tabColor indexed="60"/>
  </sheetPr>
  <dimension ref="A1:K44"/>
  <sheetViews>
    <sheetView workbookViewId="0">
      <selection activeCell="C8" sqref="C8:D8"/>
    </sheetView>
  </sheetViews>
  <sheetFormatPr defaultRowHeight="16.5"/>
  <cols>
    <col min="1" max="3" width="9.140625" style="61"/>
    <col min="4" max="4" width="10.5703125" style="61" customWidth="1"/>
    <col min="5" max="6" width="12.28515625" style="61" customWidth="1"/>
    <col min="7" max="7" width="11.28515625" style="61" customWidth="1"/>
    <col min="8" max="8" width="11.85546875" style="61" customWidth="1"/>
    <col min="9" max="9" width="9.7109375" style="61" hidden="1" customWidth="1"/>
    <col min="10" max="11" width="9.42578125" style="61" bestFit="1" customWidth="1"/>
    <col min="12" max="16384" width="9.140625" style="61"/>
  </cols>
  <sheetData>
    <row r="1" spans="1:9">
      <c r="A1" s="1125" t="str">
        <f>'Data Sheet'!A1</f>
        <v>UNION BANK OF INDIA</v>
      </c>
      <c r="B1" s="1125"/>
      <c r="C1" s="1125"/>
      <c r="D1" s="1125"/>
      <c r="E1" s="1125"/>
      <c r="F1" s="1125"/>
      <c r="G1" s="1125"/>
      <c r="H1" s="1125"/>
    </row>
    <row r="2" spans="1:9">
      <c r="A2" s="1125">
        <f>'Data Sheet'!F14</f>
        <v>0</v>
      </c>
      <c r="B2" s="1125"/>
      <c r="C2" s="1125"/>
      <c r="D2" s="1125"/>
      <c r="E2" s="1125"/>
      <c r="F2" s="1125"/>
      <c r="G2" s="1125"/>
      <c r="H2" s="1125"/>
    </row>
    <row r="3" spans="1:9">
      <c r="A3" s="1125">
        <f>'Data Sheet'!F7</f>
        <v>0</v>
      </c>
      <c r="B3" s="1125"/>
      <c r="C3" s="1125"/>
      <c r="D3" s="1125"/>
      <c r="E3" s="1125"/>
      <c r="F3" s="1125"/>
      <c r="G3" s="1125"/>
      <c r="H3" s="1125"/>
    </row>
    <row r="4" spans="1:9">
      <c r="A4" s="1126" t="s">
        <v>921</v>
      </c>
      <c r="B4" s="1126"/>
      <c r="C4" s="1126"/>
      <c r="D4" s="1126"/>
      <c r="E4" s="1126"/>
      <c r="F4" s="1126"/>
      <c r="G4" s="1126"/>
      <c r="H4" s="1126"/>
    </row>
    <row r="5" spans="1:9">
      <c r="A5" s="1126"/>
      <c r="B5" s="1126"/>
      <c r="C5" s="1126"/>
      <c r="D5" s="1126"/>
      <c r="E5" s="1126"/>
      <c r="F5" s="1126"/>
      <c r="G5" s="1126"/>
      <c r="H5" s="1126"/>
    </row>
    <row r="6" spans="1:9">
      <c r="A6" s="1127" t="s">
        <v>229</v>
      </c>
      <c r="B6" s="1127"/>
      <c r="C6" s="1127"/>
      <c r="D6" s="1127"/>
      <c r="E6" s="1127"/>
      <c r="F6" s="1127"/>
      <c r="G6" s="1128">
        <v>44286</v>
      </c>
      <c r="H6" s="1128"/>
    </row>
    <row r="7" spans="1:9" s="68" customFormat="1" ht="55.5" customHeight="1">
      <c r="A7" s="1124" t="s">
        <v>227</v>
      </c>
      <c r="B7" s="1124"/>
      <c r="C7" s="1124" t="s">
        <v>202</v>
      </c>
      <c r="D7" s="1124"/>
      <c r="E7" s="128" t="str">
        <f>"No of years completed as on " &amp; TEXT(G6,"dd-mm-yyyy")</f>
        <v>No of years completed as on 31-03-2021</v>
      </c>
      <c r="F7" s="59" t="s">
        <v>222</v>
      </c>
      <c r="G7" s="1124" t="s">
        <v>228</v>
      </c>
      <c r="H7" s="1124"/>
    </row>
    <row r="8" spans="1:9">
      <c r="A8" s="1123"/>
      <c r="B8" s="1123"/>
      <c r="C8" s="1121"/>
      <c r="D8" s="1121"/>
      <c r="E8" s="18" t="str">
        <f>IF(A8="","",IF(A8&lt;&gt;"",ROUND(YEARFRAC(A8,$G$6),0),IF(A8=0,"",IF(ROUND(YEARFRAC(A8,$G$6),0)&gt;9,E8=""))))</f>
        <v/>
      </c>
      <c r="F8" s="60" t="str">
        <f>IF(OR(OR(I8="",E8=0),E8&gt;=9),"",IF(I8=4,LOOKUP(E8,$A$31:$A$39,$D$31:$D$39),IF(I8=5,LOOKUP(E8,$A$31:$A$39,$E$31:$E$39),IF(I8=6,LOOKUP(E8,$A$31:$A$39,$F$31:$F$39),IF(I8=7,LOOKUP(E8,$A$31:$A$39,$G$31:$G$39),IF(I8=8,LOOKUP(E8,$A$31:$A$39,$H$31:$H$39),IF(I8=9,LOOKUP(E8,$A$31:$A$39,$I$31:$I$39),IF(I8=10,LOOKUP(E8,$A$31:$A$39,$J$31:$J$39)))))))))</f>
        <v/>
      </c>
      <c r="G8" s="1122" t="str">
        <f>IF(OR(C8="",F8=""),"",IF($C$8&lt;&gt;"",C8*F8))</f>
        <v/>
      </c>
      <c r="H8" s="1122"/>
      <c r="I8" s="61" t="str">
        <f>IF(A8="","",IF(AND( A8&gt;=$D$28,A8&lt;=$D$30),COLUMN(D31:D39),IF(AND( A8&gt;=$E$28,A8&lt;=$E$30),COLUMN(E31:E39),IF(AND( A8&gt;=$F$28,A8&lt;=$F$30),COLUMN(F31:F39),IF(AND( A8&gt;=$G$28,A8&lt;=$G$30),COLUMN(G31:G39),IF(AND( A8&gt;=$H$28,A8&lt;=$H$30),COLUMN(H31:H39), IF(AND( A8&gt;=$I$28,A8&lt;=$I$30),COLUMN(I31:I39),IF(AND(A8&gt;=$J$28,A8&lt;=$J$30),COLUMN(J31:J39)))))))))</f>
        <v/>
      </c>
    </row>
    <row r="9" spans="1:9">
      <c r="A9" s="1123"/>
      <c r="B9" s="1123"/>
      <c r="C9" s="1121"/>
      <c r="D9" s="1121"/>
      <c r="E9" s="325" t="str">
        <f t="shared" ref="E9:E21" si="0">IF(A9="","",IF(A9&lt;&gt;"",ROUND(YEARFRAC(A9,$G$6),0),IF(A9=0,"",IF(ROUND(YEARFRAC(A9,$G$6),0)&gt;9,E9=""))))</f>
        <v/>
      </c>
      <c r="F9" s="60" t="str">
        <f t="shared" ref="F9:F21" si="1">IF(OR(OR(I9="",E9=0),E9&gt;=9),"",IF(I9=4,LOOKUP(E9,$A$31:$C$39,$D$31:$D$39),IF(I9=5,LOOKUP(E9,$A$31:$C$39,$E$31:$E$39),IF(I9=6,LOOKUP(E9,$A$31:$C$39,$F$31:$F$39),IF(I9=7,LOOKUP(E9,$A$31:$C$39,$G$31:$G$39),IF(I9=8,LOOKUP(E9,$A$31:$C$39,$H$31:$H$39),IF(I9=9,LOOKUP(E9,$A$31:$C$39,$I$31:$I$39))))))))</f>
        <v/>
      </c>
      <c r="G9" s="1122" t="str">
        <f t="shared" ref="G9:G21" si="2">IF(OR(C9="",F9=""),"",IF($C$8&lt;&gt;"",C9*F9))</f>
        <v/>
      </c>
      <c r="H9" s="1122"/>
      <c r="I9" s="326" t="str">
        <f>IF(A9="","",IF(AND( A9&gt;=$D$28,A9&lt;=$D$30),COLUMN(D32:D40),IF(AND( A9&gt;=$E$28,A9&lt;=$E$30),COLUMN(E32:E40),IF(AND( A9&gt;=$F$28,A9&lt;=$F$30),COLUMN(F32:F40),IF(AND( A9&gt;=$G$28,A9&lt;=$G$30),COLUMN(G32:G40),IF(AND( A9&gt;=$H$28,A9&lt;=$H$30),COLUMN(H32:H40), IF(AND( A9&gt;=$I$28,A9&lt;=$I$30),COLUMN(I32:I40))))))))</f>
        <v/>
      </c>
    </row>
    <row r="10" spans="1:9">
      <c r="A10" s="1123"/>
      <c r="B10" s="1123"/>
      <c r="C10" s="1121"/>
      <c r="D10" s="1121"/>
      <c r="E10" s="325" t="str">
        <f t="shared" si="0"/>
        <v/>
      </c>
      <c r="F10" s="60" t="str">
        <f t="shared" si="1"/>
        <v/>
      </c>
      <c r="G10" s="1122" t="str">
        <f t="shared" si="2"/>
        <v/>
      </c>
      <c r="H10" s="1122"/>
      <c r="I10" s="326" t="str">
        <f t="shared" ref="I10:I21" si="3">IF(A10="","",IF(AND( A10&gt;=$D$28,A10&lt;=$D$30),COLUMN(D33:D41),IF(AND( A10&gt;=$E$28,A10&lt;=$E$30),COLUMN(E33:E41),IF(AND( A10&gt;=$F$28,A10&lt;=$F$30),COLUMN(F33:F41),IF(AND( A10&gt;=$G$28,A10&lt;=$G$30),COLUMN(G33:G41),IF(AND( A10&gt;=$H$28,A10&lt;=$H$30),COLUMN(H33:H41), IF(AND( A10&gt;=$I$28,A10&lt;=$I$30),COLUMN(I33:I41))))))))</f>
        <v/>
      </c>
    </row>
    <row r="11" spans="1:9">
      <c r="A11" s="1123"/>
      <c r="B11" s="1123"/>
      <c r="C11" s="1121"/>
      <c r="D11" s="1121"/>
      <c r="E11" s="325" t="str">
        <f t="shared" si="0"/>
        <v/>
      </c>
      <c r="F11" s="60" t="str">
        <f t="shared" si="1"/>
        <v/>
      </c>
      <c r="G11" s="1122" t="str">
        <f t="shared" si="2"/>
        <v/>
      </c>
      <c r="H11" s="1122"/>
      <c r="I11" s="326" t="str">
        <f t="shared" si="3"/>
        <v/>
      </c>
    </row>
    <row r="12" spans="1:9">
      <c r="A12" s="1123"/>
      <c r="B12" s="1123"/>
      <c r="C12" s="1121"/>
      <c r="D12" s="1121"/>
      <c r="E12" s="325" t="str">
        <f t="shared" si="0"/>
        <v/>
      </c>
      <c r="F12" s="60" t="str">
        <f t="shared" si="1"/>
        <v/>
      </c>
      <c r="G12" s="1122" t="str">
        <f t="shared" si="2"/>
        <v/>
      </c>
      <c r="H12" s="1122"/>
      <c r="I12" s="326" t="str">
        <f t="shared" si="3"/>
        <v/>
      </c>
    </row>
    <row r="13" spans="1:9">
      <c r="A13" s="1123"/>
      <c r="B13" s="1123"/>
      <c r="C13" s="1121"/>
      <c r="D13" s="1121"/>
      <c r="E13" s="325" t="str">
        <f t="shared" si="0"/>
        <v/>
      </c>
      <c r="F13" s="60" t="str">
        <f t="shared" si="1"/>
        <v/>
      </c>
      <c r="G13" s="1122" t="str">
        <f t="shared" si="2"/>
        <v/>
      </c>
      <c r="H13" s="1122"/>
      <c r="I13" s="326" t="str">
        <f t="shared" si="3"/>
        <v/>
      </c>
    </row>
    <row r="14" spans="1:9">
      <c r="A14" s="1123"/>
      <c r="B14" s="1123"/>
      <c r="C14" s="1121"/>
      <c r="D14" s="1121"/>
      <c r="E14" s="325" t="str">
        <f t="shared" si="0"/>
        <v/>
      </c>
      <c r="F14" s="60" t="str">
        <f t="shared" si="1"/>
        <v/>
      </c>
      <c r="G14" s="1122" t="str">
        <f t="shared" si="2"/>
        <v/>
      </c>
      <c r="H14" s="1122"/>
      <c r="I14" s="326" t="str">
        <f t="shared" si="3"/>
        <v/>
      </c>
    </row>
    <row r="15" spans="1:9">
      <c r="A15" s="1123"/>
      <c r="B15" s="1123"/>
      <c r="C15" s="1121"/>
      <c r="D15" s="1121"/>
      <c r="E15" s="325" t="str">
        <f t="shared" si="0"/>
        <v/>
      </c>
      <c r="F15" s="60" t="str">
        <f t="shared" si="1"/>
        <v/>
      </c>
      <c r="G15" s="1122" t="str">
        <f t="shared" si="2"/>
        <v/>
      </c>
      <c r="H15" s="1122"/>
      <c r="I15" s="326" t="str">
        <f t="shared" si="3"/>
        <v/>
      </c>
    </row>
    <row r="16" spans="1:9">
      <c r="A16" s="1123"/>
      <c r="B16" s="1123"/>
      <c r="C16" s="1121"/>
      <c r="D16" s="1121"/>
      <c r="E16" s="325" t="str">
        <f t="shared" si="0"/>
        <v/>
      </c>
      <c r="F16" s="60" t="str">
        <f t="shared" si="1"/>
        <v/>
      </c>
      <c r="G16" s="1122" t="str">
        <f t="shared" si="2"/>
        <v/>
      </c>
      <c r="H16" s="1122"/>
      <c r="I16" s="326" t="str">
        <f t="shared" si="3"/>
        <v/>
      </c>
    </row>
    <row r="17" spans="1:11">
      <c r="A17" s="1123"/>
      <c r="B17" s="1123"/>
      <c r="C17" s="1121"/>
      <c r="D17" s="1121"/>
      <c r="E17" s="325" t="str">
        <f t="shared" si="0"/>
        <v/>
      </c>
      <c r="F17" s="60" t="str">
        <f t="shared" si="1"/>
        <v/>
      </c>
      <c r="G17" s="1122" t="str">
        <f t="shared" si="2"/>
        <v/>
      </c>
      <c r="H17" s="1122"/>
      <c r="I17" s="326" t="str">
        <f t="shared" si="3"/>
        <v/>
      </c>
    </row>
    <row r="18" spans="1:11">
      <c r="A18" s="1123"/>
      <c r="B18" s="1123"/>
      <c r="C18" s="1121"/>
      <c r="D18" s="1121"/>
      <c r="E18" s="325" t="str">
        <f t="shared" si="0"/>
        <v/>
      </c>
      <c r="F18" s="60" t="str">
        <f t="shared" si="1"/>
        <v/>
      </c>
      <c r="G18" s="1122" t="str">
        <f t="shared" si="2"/>
        <v/>
      </c>
      <c r="H18" s="1122"/>
      <c r="I18" s="326" t="str">
        <f t="shared" si="3"/>
        <v/>
      </c>
    </row>
    <row r="19" spans="1:11">
      <c r="A19" s="1123"/>
      <c r="B19" s="1123"/>
      <c r="C19" s="1121"/>
      <c r="D19" s="1121"/>
      <c r="E19" s="325" t="str">
        <f t="shared" si="0"/>
        <v/>
      </c>
      <c r="F19" s="60" t="str">
        <f t="shared" si="1"/>
        <v/>
      </c>
      <c r="G19" s="1122" t="str">
        <f t="shared" si="2"/>
        <v/>
      </c>
      <c r="H19" s="1122"/>
      <c r="I19" s="326" t="str">
        <f t="shared" si="3"/>
        <v/>
      </c>
    </row>
    <row r="20" spans="1:11">
      <c r="A20" s="1123"/>
      <c r="B20" s="1123"/>
      <c r="C20" s="1121"/>
      <c r="D20" s="1121"/>
      <c r="E20" s="325" t="str">
        <f t="shared" si="0"/>
        <v/>
      </c>
      <c r="F20" s="60" t="str">
        <f t="shared" si="1"/>
        <v/>
      </c>
      <c r="G20" s="1122" t="str">
        <f t="shared" si="2"/>
        <v/>
      </c>
      <c r="H20" s="1122"/>
      <c r="I20" s="326" t="str">
        <f t="shared" si="3"/>
        <v/>
      </c>
    </row>
    <row r="21" spans="1:11">
      <c r="A21" s="1123"/>
      <c r="B21" s="1123"/>
      <c r="C21" s="1121"/>
      <c r="D21" s="1121"/>
      <c r="E21" s="325" t="str">
        <f t="shared" si="0"/>
        <v/>
      </c>
      <c r="F21" s="60" t="str">
        <f t="shared" si="1"/>
        <v/>
      </c>
      <c r="G21" s="1122" t="str">
        <f t="shared" si="2"/>
        <v/>
      </c>
      <c r="H21" s="1122"/>
      <c r="I21" s="326" t="str">
        <f t="shared" si="3"/>
        <v/>
      </c>
    </row>
    <row r="22" spans="1:11">
      <c r="A22" s="1133" t="s">
        <v>26</v>
      </c>
      <c r="B22" s="1133"/>
      <c r="C22" s="1122"/>
      <c r="D22" s="1122"/>
      <c r="E22" s="11"/>
      <c r="F22" s="19"/>
      <c r="G22" s="1122">
        <f>SUM(G8:H21)</f>
        <v>0</v>
      </c>
      <c r="H22" s="1122"/>
    </row>
    <row r="23" spans="1:11">
      <c r="F23" s="1134" t="s">
        <v>236</v>
      </c>
      <c r="G23" s="1134"/>
      <c r="H23" s="1134"/>
    </row>
    <row r="24" spans="1:11">
      <c r="F24" s="1135"/>
      <c r="G24" s="1135"/>
      <c r="H24" s="1135"/>
    </row>
    <row r="25" spans="1:11" ht="16.5" hidden="1" customHeight="1">
      <c r="A25" s="1131" t="s">
        <v>839</v>
      </c>
      <c r="B25" s="1132"/>
      <c r="C25" s="1132"/>
      <c r="D25" s="1132"/>
      <c r="E25" s="1132"/>
      <c r="F25" s="1132"/>
      <c r="G25" s="1132"/>
      <c r="H25" s="1132"/>
      <c r="I25" s="1132"/>
    </row>
    <row r="26" spans="1:11" ht="48.75" hidden="1" customHeight="1">
      <c r="A26" s="1130" t="s">
        <v>233</v>
      </c>
      <c r="B26" s="1130"/>
      <c r="C26" s="1130"/>
      <c r="D26" s="1130" t="s">
        <v>231</v>
      </c>
      <c r="E26" s="1130"/>
      <c r="F26" s="1130"/>
      <c r="G26" s="1130"/>
      <c r="H26" s="1130"/>
      <c r="I26" s="1130"/>
      <c r="J26" s="1130"/>
      <c r="K26" s="1130"/>
    </row>
    <row r="27" spans="1:11" ht="16.5" hidden="1" customHeight="1">
      <c r="A27" s="1130"/>
      <c r="B27" s="1130"/>
      <c r="C27" s="1130"/>
      <c r="D27" s="1130" t="s">
        <v>232</v>
      </c>
      <c r="E27" s="1130"/>
      <c r="F27" s="1130"/>
      <c r="G27" s="1130"/>
      <c r="H27" s="1130"/>
      <c r="I27" s="1130"/>
      <c r="J27" s="1130"/>
      <c r="K27" s="1130"/>
    </row>
    <row r="28" spans="1:11" hidden="1">
      <c r="A28" s="1130"/>
      <c r="B28" s="1130"/>
      <c r="C28" s="1130"/>
      <c r="D28" s="62">
        <v>42461</v>
      </c>
      <c r="E28" s="62">
        <v>42644</v>
      </c>
      <c r="F28" s="62">
        <v>42826</v>
      </c>
      <c r="G28" s="62">
        <v>42917</v>
      </c>
      <c r="H28" s="62">
        <v>43101</v>
      </c>
      <c r="I28" s="62">
        <v>43374</v>
      </c>
      <c r="J28" s="62">
        <v>43647</v>
      </c>
      <c r="K28" s="62"/>
    </row>
    <row r="29" spans="1:11" hidden="1">
      <c r="A29" s="1130"/>
      <c r="B29" s="1130"/>
      <c r="C29" s="1130"/>
      <c r="D29" s="324" t="s">
        <v>137</v>
      </c>
      <c r="E29" s="324" t="s">
        <v>137</v>
      </c>
      <c r="F29" s="324" t="s">
        <v>137</v>
      </c>
      <c r="G29" s="324" t="s">
        <v>137</v>
      </c>
      <c r="H29" s="324" t="s">
        <v>137</v>
      </c>
      <c r="I29" s="62" t="str">
        <f>G29</f>
        <v>To</v>
      </c>
      <c r="J29" s="62" t="str">
        <f>I29</f>
        <v>To</v>
      </c>
      <c r="K29" s="62"/>
    </row>
    <row r="30" spans="1:11" hidden="1">
      <c r="A30" s="1130"/>
      <c r="B30" s="1130"/>
      <c r="C30" s="1130"/>
      <c r="D30" s="62">
        <v>42643</v>
      </c>
      <c r="E30" s="62">
        <v>42825</v>
      </c>
      <c r="F30" s="62">
        <v>42824</v>
      </c>
      <c r="G30" s="62">
        <v>43100</v>
      </c>
      <c r="H30" s="62">
        <v>43373</v>
      </c>
      <c r="I30" s="62">
        <v>43646</v>
      </c>
      <c r="J30" s="62">
        <v>44469</v>
      </c>
      <c r="K30" s="62"/>
    </row>
    <row r="31" spans="1:11" ht="24.95" hidden="1" customHeight="1">
      <c r="A31" s="1129">
        <v>1</v>
      </c>
      <c r="B31" s="1129"/>
      <c r="C31" s="1129"/>
      <c r="D31" s="60">
        <v>8.1000000000000003E-2</v>
      </c>
      <c r="E31" s="60">
        <v>0.08</v>
      </c>
      <c r="F31" s="60">
        <v>7.9000000000000001E-2</v>
      </c>
      <c r="G31" s="60">
        <v>7.8E-2</v>
      </c>
      <c r="H31" s="60">
        <v>7.5999999999999998E-2</v>
      </c>
      <c r="I31" s="63">
        <v>0.08</v>
      </c>
      <c r="J31" s="63">
        <v>7.9000000000000001E-2</v>
      </c>
      <c r="K31" s="63"/>
    </row>
    <row r="32" spans="1:11" ht="24.95" hidden="1" customHeight="1">
      <c r="A32" s="1129">
        <v>2</v>
      </c>
      <c r="B32" s="1129"/>
      <c r="C32" s="1129"/>
      <c r="D32" s="60">
        <v>8.7599999999999997E-2</v>
      </c>
      <c r="E32" s="60">
        <v>8.6400000000000005E-2</v>
      </c>
      <c r="F32" s="60">
        <v>8.5199999999999998E-2</v>
      </c>
      <c r="G32" s="60">
        <v>8.4099999999999994E-2</v>
      </c>
      <c r="H32" s="60">
        <v>8.1799999999999998E-2</v>
      </c>
      <c r="I32" s="63">
        <v>8.6400000000000005E-2</v>
      </c>
      <c r="J32" s="63">
        <v>8.5199999999999998E-2</v>
      </c>
      <c r="K32" s="63"/>
    </row>
    <row r="33" spans="1:11" ht="24.95" hidden="1" customHeight="1">
      <c r="A33" s="1129">
        <v>3</v>
      </c>
      <c r="B33" s="1129"/>
      <c r="C33" s="1129"/>
      <c r="D33" s="60">
        <v>9.4600000000000004E-2</v>
      </c>
      <c r="E33" s="60">
        <v>9.3299999999999994E-2</v>
      </c>
      <c r="F33" s="60">
        <v>9.1999999999999998E-2</v>
      </c>
      <c r="G33" s="60">
        <v>9.06E-2</v>
      </c>
      <c r="H33" s="60">
        <v>8.7999999999999995E-2</v>
      </c>
      <c r="I33" s="63">
        <v>9.3299999999999994E-2</v>
      </c>
      <c r="J33" s="63">
        <v>9.1999999999999998E-2</v>
      </c>
      <c r="K33" s="63"/>
    </row>
    <row r="34" spans="1:11" ht="24.95" hidden="1" customHeight="1">
      <c r="A34" s="1129">
        <v>4</v>
      </c>
      <c r="B34" s="1129"/>
      <c r="C34" s="1129"/>
      <c r="D34" s="60">
        <v>0.1023</v>
      </c>
      <c r="E34" s="60">
        <v>0.1008</v>
      </c>
      <c r="F34" s="60">
        <v>9.9199999999999997E-2</v>
      </c>
      <c r="G34" s="60">
        <v>9.7699999999999995E-2</v>
      </c>
      <c r="H34" s="60">
        <v>9.4700000000000006E-2</v>
      </c>
      <c r="I34" s="63">
        <v>0.1008</v>
      </c>
      <c r="J34" s="63">
        <v>9.9199999999999997E-2</v>
      </c>
      <c r="K34" s="63"/>
    </row>
    <row r="35" spans="1:11" ht="24.95" hidden="1" customHeight="1">
      <c r="A35" s="1129">
        <v>5</v>
      </c>
      <c r="B35" s="1129"/>
      <c r="C35" s="1129"/>
      <c r="D35" s="60">
        <v>0.1106</v>
      </c>
      <c r="E35" s="60">
        <v>0.10879999999999999</v>
      </c>
      <c r="F35" s="60">
        <v>0.1071</v>
      </c>
      <c r="G35" s="60">
        <v>0.1053</v>
      </c>
      <c r="H35" s="60">
        <v>0.1019</v>
      </c>
      <c r="I35" s="63">
        <v>0.10879999999999999</v>
      </c>
      <c r="J35" s="63">
        <v>0.1071</v>
      </c>
      <c r="K35" s="63"/>
    </row>
    <row r="36" spans="1:11" ht="24.95" hidden="1" customHeight="1">
      <c r="A36" s="1136"/>
      <c r="B36" s="1136"/>
      <c r="C36" s="1136"/>
      <c r="D36" s="328"/>
      <c r="E36" s="328"/>
      <c r="F36" s="328"/>
      <c r="G36" s="328"/>
      <c r="H36" s="328"/>
      <c r="I36" s="11"/>
    </row>
    <row r="37" spans="1:11" ht="24.95" hidden="1" customHeight="1">
      <c r="A37" s="1129"/>
      <c r="B37" s="1129"/>
      <c r="C37" s="1129"/>
      <c r="D37" s="60"/>
      <c r="E37" s="60"/>
      <c r="F37" s="60"/>
      <c r="G37" s="60"/>
      <c r="H37" s="60"/>
      <c r="I37" s="11"/>
    </row>
    <row r="38" spans="1:11" ht="24.95" hidden="1" customHeight="1">
      <c r="A38" s="1129"/>
      <c r="B38" s="1129"/>
      <c r="C38" s="1129"/>
      <c r="D38" s="60"/>
      <c r="E38" s="60"/>
      <c r="F38" s="60"/>
      <c r="G38" s="60"/>
      <c r="H38" s="60"/>
      <c r="I38" s="11"/>
    </row>
    <row r="39" spans="1:11" ht="24.95" hidden="1" customHeight="1">
      <c r="A39" s="1129"/>
      <c r="B39" s="1129"/>
      <c r="C39" s="1129"/>
      <c r="D39" s="60"/>
      <c r="E39" s="60"/>
      <c r="F39" s="60"/>
      <c r="G39" s="60"/>
      <c r="H39" s="60"/>
      <c r="I39" s="11"/>
    </row>
    <row r="40" spans="1:11" hidden="1">
      <c r="A40" s="1129"/>
      <c r="B40" s="1129"/>
      <c r="C40" s="1129"/>
      <c r="D40" s="63"/>
      <c r="E40" s="60"/>
      <c r="F40" s="60"/>
      <c r="G40" s="63"/>
      <c r="H40" s="63"/>
      <c r="I40" s="11"/>
    </row>
    <row r="41" spans="1:11">
      <c r="A41" s="1138" t="s">
        <v>234</v>
      </c>
      <c r="B41" s="1138"/>
      <c r="C41" s="1138"/>
      <c r="D41" s="1138"/>
      <c r="E41" s="1138"/>
      <c r="F41" s="1138"/>
      <c r="G41" s="1138"/>
      <c r="H41" s="1138"/>
    </row>
    <row r="42" spans="1:11">
      <c r="A42" s="1137" t="s">
        <v>235</v>
      </c>
      <c r="B42" s="1137"/>
      <c r="C42" s="1137"/>
      <c r="D42" s="1137"/>
      <c r="E42" s="1137"/>
      <c r="F42" s="1137"/>
      <c r="G42" s="1137"/>
      <c r="H42" s="1137"/>
    </row>
    <row r="43" spans="1:11">
      <c r="A43" s="1137" t="s">
        <v>487</v>
      </c>
      <c r="B43" s="1137"/>
      <c r="C43" s="1137"/>
      <c r="D43" s="1137"/>
      <c r="E43" s="1137"/>
      <c r="F43" s="1137"/>
      <c r="G43" s="1137"/>
      <c r="H43" s="1137"/>
    </row>
    <row r="44" spans="1:11">
      <c r="A44" s="1137" t="s">
        <v>488</v>
      </c>
      <c r="B44" s="1137"/>
      <c r="C44" s="1137"/>
      <c r="D44" s="1137"/>
      <c r="E44" s="1137"/>
      <c r="F44" s="1137"/>
      <c r="G44" s="1137"/>
      <c r="H44" s="1137"/>
    </row>
  </sheetData>
  <sheetProtection password="F2F3" sheet="1" objects="1" scenarios="1"/>
  <mergeCells count="73">
    <mergeCell ref="F23:H24"/>
    <mergeCell ref="A36:C36"/>
    <mergeCell ref="A44:H44"/>
    <mergeCell ref="A38:C38"/>
    <mergeCell ref="A39:C39"/>
    <mergeCell ref="A40:C40"/>
    <mergeCell ref="A41:H41"/>
    <mergeCell ref="A42:H42"/>
    <mergeCell ref="A43:H43"/>
    <mergeCell ref="A37:C37"/>
    <mergeCell ref="D26:K26"/>
    <mergeCell ref="D27:K27"/>
    <mergeCell ref="A20:B20"/>
    <mergeCell ref="C20:D20"/>
    <mergeCell ref="G20:H20"/>
    <mergeCell ref="A35:C35"/>
    <mergeCell ref="A32:C32"/>
    <mergeCell ref="A33:C33"/>
    <mergeCell ref="A34:C34"/>
    <mergeCell ref="A21:B21"/>
    <mergeCell ref="C21:D21"/>
    <mergeCell ref="A26:C30"/>
    <mergeCell ref="A31:C31"/>
    <mergeCell ref="A25:I25"/>
    <mergeCell ref="G21:H21"/>
    <mergeCell ref="A22:B22"/>
    <mergeCell ref="C22:D22"/>
    <mergeCell ref="G22:H22"/>
    <mergeCell ref="A18:B18"/>
    <mergeCell ref="C18:D18"/>
    <mergeCell ref="G18:H18"/>
    <mergeCell ref="A19:B19"/>
    <mergeCell ref="C19:D19"/>
    <mergeCell ref="G19:H19"/>
    <mergeCell ref="A16:B16"/>
    <mergeCell ref="C16:D16"/>
    <mergeCell ref="G16:H16"/>
    <mergeCell ref="A17:B17"/>
    <mergeCell ref="C17:D17"/>
    <mergeCell ref="G17:H17"/>
    <mergeCell ref="A14:B14"/>
    <mergeCell ref="C14:D14"/>
    <mergeCell ref="G14:H14"/>
    <mergeCell ref="A15:B15"/>
    <mergeCell ref="C15:D15"/>
    <mergeCell ref="G15:H15"/>
    <mergeCell ref="G11:H11"/>
    <mergeCell ref="A12:B12"/>
    <mergeCell ref="C12:D12"/>
    <mergeCell ref="G12:H12"/>
    <mergeCell ref="A13:B13"/>
    <mergeCell ref="C13:D13"/>
    <mergeCell ref="G13:H13"/>
    <mergeCell ref="A11:B11"/>
    <mergeCell ref="C11:D11"/>
    <mergeCell ref="A1:H1"/>
    <mergeCell ref="A2:H2"/>
    <mergeCell ref="A3:H3"/>
    <mergeCell ref="A4:H5"/>
    <mergeCell ref="A6:F6"/>
    <mergeCell ref="G6:H6"/>
    <mergeCell ref="A7:B7"/>
    <mergeCell ref="C7:D7"/>
    <mergeCell ref="G7:H7"/>
    <mergeCell ref="A8:B8"/>
    <mergeCell ref="C8:D8"/>
    <mergeCell ref="G8:H8"/>
    <mergeCell ref="C9:D9"/>
    <mergeCell ref="G9:H9"/>
    <mergeCell ref="A10:B10"/>
    <mergeCell ref="C10:D10"/>
    <mergeCell ref="G10:H10"/>
    <mergeCell ref="A9:B9"/>
  </mergeCells>
  <dataValidations count="2">
    <dataValidation type="date" allowBlank="1" showInputMessage="1" showErrorMessage="1" errorTitle="DATE INELIGIBILITY" error="The date of NSC's IX issue purchased should be greater than 1 April 2013 and not greater than 31-03-2019. Input Date in dd/mm/yyyy format" promptTitle="NSC VIII ISSUE - PURCHASE DATE" prompt="The date of purchase of NSC VIII issue should be greater than 31.03.2013 and not greater than 31-03-2021. Input Date in dd/mm/yyyy format" sqref="A9:B21">
      <formula1>41365</formula1>
      <formula2>43555</formula2>
    </dataValidation>
    <dataValidation type="date" allowBlank="1" showInputMessage="1" showErrorMessage="1" errorTitle="DATE INELIGIBILITY" error="The date of NSC's IX issue purchased should be greater than 1 April 2013 and not greater than 31-03-2019. Input Date in dd/mm/yyyy format" promptTitle="NSC VIII ISSUE - PURCHASE DATE" prompt="The date of purchase of NSC VIII issue should be greater than 31.03.2013 and not greater than 31-03-2021. Input Date in dd/mm/yyyy format" sqref="A8:B8">
      <formula1>41365</formula1>
      <formula2>44286</formula2>
    </dataValidation>
  </dataValidations>
  <hyperlinks>
    <hyperlink ref="F23:H24" location="'Data Sheet'!A1" tooltip="Click to return to the Data Sheet" display="Back to Data Sheet"/>
  </hyperlinks>
  <printOptions verticalCentered="1"/>
  <pageMargins left="0.75" right="0.75" top="1" bottom="1" header="0.5" footer="0.5"/>
  <pageSetup paperSize="9" scale="75"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sheetPr codeName="Sheet12">
    <tabColor indexed="60"/>
  </sheetPr>
  <dimension ref="A1:I44"/>
  <sheetViews>
    <sheetView workbookViewId="0">
      <selection activeCell="F8" sqref="F8"/>
    </sheetView>
  </sheetViews>
  <sheetFormatPr defaultRowHeight="16.5"/>
  <cols>
    <col min="1" max="3" width="9.140625" style="61"/>
    <col min="4" max="4" width="10.5703125" style="61" customWidth="1"/>
    <col min="5" max="6" width="12.28515625" style="61" customWidth="1"/>
    <col min="7" max="7" width="11.28515625" style="61" customWidth="1"/>
    <col min="8" max="8" width="11.85546875" style="61" customWidth="1"/>
    <col min="9" max="9" width="9.140625" style="61" hidden="1" customWidth="1"/>
    <col min="10" max="16384" width="9.140625" style="61"/>
  </cols>
  <sheetData>
    <row r="1" spans="1:9">
      <c r="A1" s="1125" t="str">
        <f>'Data Sheet'!A1</f>
        <v>UNION BANK OF INDIA</v>
      </c>
      <c r="B1" s="1125"/>
      <c r="C1" s="1125"/>
      <c r="D1" s="1125"/>
      <c r="E1" s="1125"/>
      <c r="F1" s="1125"/>
      <c r="G1" s="1125"/>
      <c r="H1" s="1125"/>
    </row>
    <row r="2" spans="1:9">
      <c r="A2" s="1125">
        <f>'Data Sheet'!F14</f>
        <v>0</v>
      </c>
      <c r="B2" s="1125"/>
      <c r="C2" s="1125"/>
      <c r="D2" s="1125"/>
      <c r="E2" s="1125"/>
      <c r="F2" s="1125"/>
      <c r="G2" s="1125"/>
      <c r="H2" s="1125"/>
    </row>
    <row r="3" spans="1:9">
      <c r="A3" s="1125">
        <f>'Data Sheet'!F7</f>
        <v>0</v>
      </c>
      <c r="B3" s="1125"/>
      <c r="C3" s="1125"/>
      <c r="D3" s="1125"/>
      <c r="E3" s="1125"/>
      <c r="F3" s="1125"/>
      <c r="G3" s="1125"/>
      <c r="H3" s="1125"/>
    </row>
    <row r="4" spans="1:9">
      <c r="A4" s="1126" t="s">
        <v>922</v>
      </c>
      <c r="B4" s="1126"/>
      <c r="C4" s="1126"/>
      <c r="D4" s="1126"/>
      <c r="E4" s="1126"/>
      <c r="F4" s="1126"/>
      <c r="G4" s="1126"/>
      <c r="H4" s="1126"/>
    </row>
    <row r="5" spans="1:9">
      <c r="A5" s="1126"/>
      <c r="B5" s="1126"/>
      <c r="C5" s="1126"/>
      <c r="D5" s="1126"/>
      <c r="E5" s="1126"/>
      <c r="F5" s="1126"/>
      <c r="G5" s="1126"/>
      <c r="H5" s="1126"/>
    </row>
    <row r="6" spans="1:9">
      <c r="A6" s="1127" t="s">
        <v>229</v>
      </c>
      <c r="B6" s="1127"/>
      <c r="C6" s="1127"/>
      <c r="D6" s="1127"/>
      <c r="E6" s="1127"/>
      <c r="F6" s="1127"/>
      <c r="G6" s="1128">
        <v>44286</v>
      </c>
      <c r="H6" s="1128"/>
    </row>
    <row r="7" spans="1:9" s="68" customFormat="1" ht="55.5" customHeight="1">
      <c r="A7" s="1124" t="s">
        <v>227</v>
      </c>
      <c r="B7" s="1124"/>
      <c r="C7" s="1124" t="s">
        <v>202</v>
      </c>
      <c r="D7" s="1124"/>
      <c r="E7" s="128" t="str">
        <f>"No of years completed as on " &amp; TEXT(G6,"dd-mm-yyyy")</f>
        <v>No of years completed as on 31-03-2021</v>
      </c>
      <c r="F7" s="59" t="s">
        <v>222</v>
      </c>
      <c r="G7" s="1124" t="s">
        <v>228</v>
      </c>
      <c r="H7" s="1124"/>
    </row>
    <row r="8" spans="1:9">
      <c r="A8" s="1123">
        <v>40999</v>
      </c>
      <c r="B8" s="1123"/>
      <c r="C8" s="1121">
        <v>10000</v>
      </c>
      <c r="D8" s="1121"/>
      <c r="E8" s="18">
        <f>IF(A8="","",IF(A8&lt;&gt;"",ROUND(YEARFRAC(A8,$G$6),0),IF(A8=0,"",IF(ROUND(YEARFRAC(A8,$G$6),0)&gt;9,E8=""))))</f>
        <v>9</v>
      </c>
      <c r="F8" s="60" t="str">
        <f>IF(OR(OR(I8="",E8=0),E8&gt;=9),"",IF(I8=4,LOOKUP(E8,$A$31:$C$39,$D$31:$D$39),IF(I8=5,LOOKUP(E8,$A$31:$C$39,$E$31:$E$39),IF(I8=6,LOOKUP(E8,$A$31:$C$39,$F$31:$F$39),IF(I8=7,LOOKUP(E8,$A$31:$C$39,$G$31:$G$39),IF(I8=8,LOOKUP(E8,$A$31:$C$39,$H$31:$H$39)))))))</f>
        <v/>
      </c>
      <c r="G8" s="1122" t="str">
        <f>IF(OR(C8="",F8=""),"",IF($C$8&lt;&gt;"",C8*F8))</f>
        <v/>
      </c>
      <c r="H8" s="1122"/>
      <c r="I8" s="61">
        <f>IF(A8="","",IF(AND( A8&gt;=$D$28,A8&lt;=$D$30),COLUMN(D31:D39),IF(AND( A8&gt;=$E$28,A8&lt;=$E$30),COLUMN(E31:E39),IF(AND( A8&gt;=$F$28,A8&lt;=$F$30),COLUMN(F31:F39),IF(AND( A8&gt;=$G$28,A8&lt;=$G$30),COLUMN(G31:G39),IF(AND( A8&gt;=$H$28,A8&lt;=$H$30),COLUMN(H31:H39)))))))</f>
        <v>4</v>
      </c>
    </row>
    <row r="9" spans="1:9">
      <c r="A9" s="1123"/>
      <c r="B9" s="1123"/>
      <c r="C9" s="1121"/>
      <c r="D9" s="1121"/>
      <c r="E9" s="18" t="str">
        <f t="shared" ref="E9:E21" si="0">IF(A9="","",IF(A9&lt;&gt;"",ROUND(YEARFRAC(A9,$G$6),0),IF(A9=0,"",IF(ROUND(YEARFRAC(A9,$G$6),0)&gt;9,E9=""))))</f>
        <v/>
      </c>
      <c r="F9" s="60" t="str">
        <f t="shared" ref="F9:F21" si="1">IF(OR(OR(I9="",E9=0),E9&gt;=9),"",IF(I9=4,LOOKUP(E9,$A$31:$C$39,$D$31:$D$39),IF(I9=5,LOOKUP(E9,$A$31:$C$39,$E$31:$E$39),IF(I9=6,LOOKUP(E9,$A$31:$C$39,$F$31:$F$39),IF(I9=7,LOOKUP(E9,$A$31:$C$39,$G$31:$G$39),IF(I9=8,LOOKUP(E9,$A$31:$C$39,$H$31:$H$39)))))))</f>
        <v/>
      </c>
      <c r="G9" s="1122" t="str">
        <f t="shared" ref="G9:G21" si="2">IF(OR(C9="",F9=""),"",IF($C$8&lt;&gt;"",C9*F9))</f>
        <v/>
      </c>
      <c r="H9" s="1122"/>
      <c r="I9" s="61" t="str">
        <f>IF(A9="","",IF(AND( A9&gt;=$D$28,A9&lt;=$D$30),COLUMN(D32:D40),IF(AND( A9&gt;=$E$28,A9&lt;=$E$30),COLUMN(E32:E40),IF(AND( A9&gt;=$F$28,A9&lt;=$F$30),COLUMN(F32:F40),IF(AND( A9&gt;=$G$28,A9&lt;=$G$30),COLUMN(G32:G40),IF(AND( A9&gt;=$H$28,A9&lt;=$H$30),COLUMN(H32:H40)))))))</f>
        <v/>
      </c>
    </row>
    <row r="10" spans="1:9">
      <c r="A10" s="1123"/>
      <c r="B10" s="1123"/>
      <c r="C10" s="1121"/>
      <c r="D10" s="1121"/>
      <c r="E10" s="18" t="str">
        <f t="shared" si="0"/>
        <v/>
      </c>
      <c r="F10" s="60" t="str">
        <f t="shared" si="1"/>
        <v/>
      </c>
      <c r="G10" s="1122" t="str">
        <f t="shared" si="2"/>
        <v/>
      </c>
      <c r="H10" s="1122"/>
      <c r="I10" s="61" t="str">
        <f>IF(A10="","",IF(AND( A10&gt;=$D$28,A10&lt;=$D$30),COLUMN(D33:D41),IF(AND( A10&gt;=$E$28,A10&lt;=$E$30),COLUMN(E33:E41),IF(AND( A10&gt;=$F$28,A10&lt;=$F$30),COLUMN(F33:F41),IF(AND( A10&gt;=$G$28,A10&lt;=$G$30),COLUMN(G33:G41),IF(AND( A10&gt;=$H$28,A10&lt;=$H$30),COLUMN(H33:H41)))))))</f>
        <v/>
      </c>
    </row>
    <row r="11" spans="1:9">
      <c r="A11" s="1123"/>
      <c r="B11" s="1123"/>
      <c r="C11" s="1121"/>
      <c r="D11" s="1121"/>
      <c r="E11" s="18" t="str">
        <f t="shared" si="0"/>
        <v/>
      </c>
      <c r="F11" s="60" t="str">
        <f t="shared" si="1"/>
        <v/>
      </c>
      <c r="G11" s="1122" t="str">
        <f t="shared" si="2"/>
        <v/>
      </c>
      <c r="H11" s="1122"/>
      <c r="I11" s="61" t="str">
        <f>IF(A11="","",IF(AND( A11&gt;=$D$28,A11&lt;=$D$30),COLUMN(D34:D42),IF(AND( A11&gt;=$E$28,A11&lt;=$E$30),COLUMN(E34:E42),IF(AND( A11&gt;=$F$28,A11&lt;=$F$30),COLUMN(F34:F42),IF(AND( A11&gt;=$G$28,A11&lt;=$G$30),COLUMN(G34:G42),IF(AND( A11&gt;=$H$28,A11&lt;=$H$30),COLUMN(H34:H42)))))))</f>
        <v/>
      </c>
    </row>
    <row r="12" spans="1:9">
      <c r="A12" s="1123"/>
      <c r="B12" s="1123"/>
      <c r="C12" s="1121"/>
      <c r="D12" s="1121"/>
      <c r="E12" s="18" t="str">
        <f t="shared" si="0"/>
        <v/>
      </c>
      <c r="F12" s="60" t="str">
        <f t="shared" si="1"/>
        <v/>
      </c>
      <c r="G12" s="1122" t="str">
        <f t="shared" si="2"/>
        <v/>
      </c>
      <c r="H12" s="1122"/>
      <c r="I12" s="61" t="str">
        <f>IF(A12="","",IF(AND( A12&gt;=$D$28,A12&lt;=$D$30),COLUMN(D35:D43),IF(AND( A12&gt;=$E$28,A12&lt;=$E$30),COLUMN(E35:E43),IF(AND( A12&gt;=$F$28,A12&lt;=$F$30),COLUMN(F35:F43),IF(AND( A12&gt;=$G$28,A12&lt;=$G$30),COLUMN(G35:G43),IF(AND( A12&gt;=$H$28,A12&lt;=$H$30),COLUMN(H35:H43)))))))</f>
        <v/>
      </c>
    </row>
    <row r="13" spans="1:9">
      <c r="A13" s="1123"/>
      <c r="B13" s="1123"/>
      <c r="C13" s="1121"/>
      <c r="D13" s="1121"/>
      <c r="E13" s="18" t="str">
        <f t="shared" si="0"/>
        <v/>
      </c>
      <c r="F13" s="60" t="str">
        <f t="shared" si="1"/>
        <v/>
      </c>
      <c r="G13" s="1122" t="str">
        <f t="shared" si="2"/>
        <v/>
      </c>
      <c r="H13" s="1122"/>
      <c r="I13" s="61" t="str">
        <f t="shared" ref="I13:I21" si="3">IF(A13="","",IF(AND( A13&gt;=$D$28,A13&lt;=$D$30),COLUMN(D40:D44),IF(AND( A13&gt;=$E$28,A13&lt;=$E$30),COLUMN(E40:E44),IF(AND( A13&gt;=$F$28,A13&lt;=$F$30),COLUMN(F40:F44),IF(AND( A13&gt;=$G$28,A13&lt;=$G$30),COLUMN(G40:G44),IF(AND( A13&gt;=$H$28,A13&lt;=$H$30),COLUMN(H40:H44)))))))</f>
        <v/>
      </c>
    </row>
    <row r="14" spans="1:9">
      <c r="A14" s="1123"/>
      <c r="B14" s="1123"/>
      <c r="C14" s="1121"/>
      <c r="D14" s="1121"/>
      <c r="E14" s="18" t="str">
        <f t="shared" si="0"/>
        <v/>
      </c>
      <c r="F14" s="60" t="str">
        <f t="shared" si="1"/>
        <v/>
      </c>
      <c r="G14" s="1122" t="str">
        <f t="shared" si="2"/>
        <v/>
      </c>
      <c r="H14" s="1122"/>
      <c r="I14" s="61" t="str">
        <f t="shared" si="3"/>
        <v/>
      </c>
    </row>
    <row r="15" spans="1:9">
      <c r="A15" s="1123"/>
      <c r="B15" s="1123"/>
      <c r="C15" s="1121"/>
      <c r="D15" s="1121"/>
      <c r="E15" s="18" t="str">
        <f t="shared" si="0"/>
        <v/>
      </c>
      <c r="F15" s="60" t="str">
        <f t="shared" si="1"/>
        <v/>
      </c>
      <c r="G15" s="1122" t="str">
        <f t="shared" si="2"/>
        <v/>
      </c>
      <c r="H15" s="1122"/>
      <c r="I15" s="61" t="str">
        <f t="shared" si="3"/>
        <v/>
      </c>
    </row>
    <row r="16" spans="1:9">
      <c r="A16" s="1123"/>
      <c r="B16" s="1123"/>
      <c r="C16" s="1121"/>
      <c r="D16" s="1121"/>
      <c r="E16" s="18" t="str">
        <f t="shared" si="0"/>
        <v/>
      </c>
      <c r="F16" s="60" t="str">
        <f t="shared" si="1"/>
        <v/>
      </c>
      <c r="G16" s="1122" t="str">
        <f t="shared" si="2"/>
        <v/>
      </c>
      <c r="H16" s="1122"/>
      <c r="I16" s="61" t="str">
        <f t="shared" si="3"/>
        <v/>
      </c>
    </row>
    <row r="17" spans="1:9">
      <c r="A17" s="1123"/>
      <c r="B17" s="1123"/>
      <c r="C17" s="1121"/>
      <c r="D17" s="1121"/>
      <c r="E17" s="18" t="str">
        <f t="shared" si="0"/>
        <v/>
      </c>
      <c r="F17" s="60" t="str">
        <f t="shared" si="1"/>
        <v/>
      </c>
      <c r="G17" s="1122" t="str">
        <f t="shared" si="2"/>
        <v/>
      </c>
      <c r="H17" s="1122"/>
      <c r="I17" s="61" t="str">
        <f t="shared" si="3"/>
        <v/>
      </c>
    </row>
    <row r="18" spans="1:9">
      <c r="A18" s="1123"/>
      <c r="B18" s="1123"/>
      <c r="C18" s="1121"/>
      <c r="D18" s="1121"/>
      <c r="E18" s="18" t="str">
        <f t="shared" si="0"/>
        <v/>
      </c>
      <c r="F18" s="60" t="str">
        <f t="shared" si="1"/>
        <v/>
      </c>
      <c r="G18" s="1122" t="str">
        <f t="shared" si="2"/>
        <v/>
      </c>
      <c r="H18" s="1122"/>
      <c r="I18" s="61" t="str">
        <f t="shared" si="3"/>
        <v/>
      </c>
    </row>
    <row r="19" spans="1:9">
      <c r="A19" s="1123"/>
      <c r="B19" s="1123"/>
      <c r="C19" s="1121"/>
      <c r="D19" s="1121"/>
      <c r="E19" s="18" t="str">
        <f t="shared" si="0"/>
        <v/>
      </c>
      <c r="F19" s="60" t="str">
        <f t="shared" si="1"/>
        <v/>
      </c>
      <c r="G19" s="1122" t="str">
        <f t="shared" si="2"/>
        <v/>
      </c>
      <c r="H19" s="1122"/>
      <c r="I19" s="61" t="str">
        <f t="shared" si="3"/>
        <v/>
      </c>
    </row>
    <row r="20" spans="1:9">
      <c r="A20" s="1123"/>
      <c r="B20" s="1123"/>
      <c r="C20" s="1121"/>
      <c r="D20" s="1121"/>
      <c r="E20" s="18" t="str">
        <f t="shared" si="0"/>
        <v/>
      </c>
      <c r="F20" s="60" t="str">
        <f t="shared" si="1"/>
        <v/>
      </c>
      <c r="G20" s="1122" t="str">
        <f t="shared" si="2"/>
        <v/>
      </c>
      <c r="H20" s="1122"/>
      <c r="I20" s="61" t="str">
        <f t="shared" si="3"/>
        <v/>
      </c>
    </row>
    <row r="21" spans="1:9">
      <c r="A21" s="1123"/>
      <c r="B21" s="1123"/>
      <c r="C21" s="1121"/>
      <c r="D21" s="1121"/>
      <c r="E21" s="18" t="str">
        <f t="shared" si="0"/>
        <v/>
      </c>
      <c r="F21" s="60" t="str">
        <f t="shared" si="1"/>
        <v/>
      </c>
      <c r="G21" s="1122" t="str">
        <f t="shared" si="2"/>
        <v/>
      </c>
      <c r="H21" s="1122"/>
      <c r="I21" s="61" t="str">
        <f t="shared" si="3"/>
        <v/>
      </c>
    </row>
    <row r="22" spans="1:9">
      <c r="A22" s="1133" t="s">
        <v>26</v>
      </c>
      <c r="B22" s="1133"/>
      <c r="C22" s="1122"/>
      <c r="D22" s="1122"/>
      <c r="E22" s="11"/>
      <c r="F22" s="19"/>
      <c r="G22" s="1122">
        <f>SUM(G8:H21)</f>
        <v>0</v>
      </c>
      <c r="H22" s="1122"/>
    </row>
    <row r="23" spans="1:9">
      <c r="F23" s="1134" t="s">
        <v>236</v>
      </c>
      <c r="G23" s="1134"/>
      <c r="H23" s="1134"/>
    </row>
    <row r="24" spans="1:9">
      <c r="F24" s="1135"/>
      <c r="G24" s="1135"/>
      <c r="H24" s="1135"/>
    </row>
    <row r="25" spans="1:9">
      <c r="A25" s="1130" t="s">
        <v>839</v>
      </c>
      <c r="B25" s="1130"/>
      <c r="C25" s="1130"/>
      <c r="D25" s="1130"/>
      <c r="E25" s="1130"/>
      <c r="F25" s="1130"/>
      <c r="G25" s="1130"/>
      <c r="H25" s="1130"/>
    </row>
    <row r="26" spans="1:9" ht="48.75" customHeight="1">
      <c r="A26" s="1130" t="s">
        <v>233</v>
      </c>
      <c r="B26" s="1130"/>
      <c r="C26" s="1130"/>
      <c r="D26" s="1139" t="s">
        <v>231</v>
      </c>
      <c r="E26" s="1140"/>
      <c r="F26" s="1140"/>
      <c r="G26" s="1140"/>
      <c r="H26" s="1141"/>
    </row>
    <row r="27" spans="1:9">
      <c r="A27" s="1130"/>
      <c r="B27" s="1130"/>
      <c r="C27" s="1130"/>
      <c r="D27" s="1130" t="s">
        <v>232</v>
      </c>
      <c r="E27" s="1130"/>
      <c r="F27" s="1130"/>
      <c r="G27" s="1130"/>
      <c r="H27" s="1130"/>
    </row>
    <row r="28" spans="1:9">
      <c r="A28" s="1130"/>
      <c r="B28" s="1130"/>
      <c r="C28" s="1130"/>
      <c r="D28" s="62">
        <v>40878</v>
      </c>
      <c r="E28" s="62">
        <v>41000</v>
      </c>
      <c r="F28" s="62">
        <v>41365</v>
      </c>
      <c r="G28" s="62"/>
      <c r="H28" s="62"/>
    </row>
    <row r="29" spans="1:9">
      <c r="A29" s="1130"/>
      <c r="B29" s="1130"/>
      <c r="C29" s="1130"/>
      <c r="D29" s="12" t="s">
        <v>137</v>
      </c>
      <c r="E29" s="12" t="s">
        <v>137</v>
      </c>
      <c r="F29" s="12" t="s">
        <v>840</v>
      </c>
      <c r="G29" s="62"/>
      <c r="H29" s="62"/>
    </row>
    <row r="30" spans="1:9">
      <c r="A30" s="1130"/>
      <c r="B30" s="1130"/>
      <c r="C30" s="1130"/>
      <c r="D30" s="62">
        <v>40999</v>
      </c>
      <c r="E30" s="62">
        <v>41364</v>
      </c>
      <c r="F30" s="62">
        <v>42358</v>
      </c>
      <c r="G30" s="62"/>
      <c r="H30" s="62"/>
    </row>
    <row r="31" spans="1:9" ht="24.95" customHeight="1">
      <c r="A31" s="1129">
        <v>1</v>
      </c>
      <c r="B31" s="1129"/>
      <c r="C31" s="1129"/>
      <c r="D31" s="60">
        <v>8.8900000000000007E-2</v>
      </c>
      <c r="E31" s="60">
        <v>9.0999999999999998E-2</v>
      </c>
      <c r="F31" s="60">
        <v>8.9899999999999994E-2</v>
      </c>
      <c r="G31" s="60"/>
      <c r="H31" s="60"/>
    </row>
    <row r="32" spans="1:9" ht="24.95" customHeight="1">
      <c r="A32" s="1129">
        <v>2</v>
      </c>
      <c r="B32" s="1129"/>
      <c r="C32" s="1129"/>
      <c r="D32" s="60">
        <v>9.6799999999999997E-2</v>
      </c>
      <c r="E32" s="60">
        <v>9.9299999999999999E-2</v>
      </c>
      <c r="F32" s="60">
        <v>9.8000000000000004E-2</v>
      </c>
      <c r="G32" s="60"/>
      <c r="H32" s="60"/>
    </row>
    <row r="33" spans="1:8" ht="24.95" customHeight="1">
      <c r="A33" s="1129">
        <v>3</v>
      </c>
      <c r="B33" s="1129"/>
      <c r="C33" s="1129"/>
      <c r="D33" s="60">
        <v>0.10539999999999999</v>
      </c>
      <c r="E33" s="60">
        <v>0.10829999999999999</v>
      </c>
      <c r="F33" s="60">
        <v>0.10680000000000001</v>
      </c>
      <c r="G33" s="60"/>
      <c r="H33" s="60"/>
    </row>
    <row r="34" spans="1:8" ht="24.95" customHeight="1">
      <c r="A34" s="1129">
        <v>4</v>
      </c>
      <c r="B34" s="1129"/>
      <c r="C34" s="1129"/>
      <c r="D34" s="60">
        <v>0.1148</v>
      </c>
      <c r="E34" s="60">
        <v>0.1181</v>
      </c>
      <c r="F34" s="60">
        <v>0.1164</v>
      </c>
      <c r="G34" s="60"/>
      <c r="H34" s="60"/>
    </row>
    <row r="35" spans="1:8" ht="24.95" customHeight="1">
      <c r="A35" s="1129">
        <v>5</v>
      </c>
      <c r="B35" s="1129"/>
      <c r="C35" s="1129"/>
      <c r="D35" s="60">
        <v>0.125</v>
      </c>
      <c r="E35" s="60">
        <v>0.12889999999999999</v>
      </c>
      <c r="F35" s="60">
        <v>0.12690000000000001</v>
      </c>
      <c r="G35" s="60"/>
      <c r="H35" s="60"/>
    </row>
    <row r="36" spans="1:8" ht="24.95" customHeight="1">
      <c r="A36" s="1129">
        <v>6</v>
      </c>
      <c r="B36" s="1129"/>
      <c r="C36" s="1129"/>
      <c r="D36" s="60">
        <v>0.1361</v>
      </c>
      <c r="E36" s="60">
        <v>0.1406</v>
      </c>
      <c r="F36" s="60">
        <v>0.13830000000000001</v>
      </c>
      <c r="G36" s="60"/>
      <c r="H36" s="60"/>
    </row>
    <row r="37" spans="1:8" ht="24.95" customHeight="1">
      <c r="A37" s="1129">
        <v>7</v>
      </c>
      <c r="B37" s="1129"/>
      <c r="C37" s="1129"/>
      <c r="D37" s="60">
        <v>0.1482</v>
      </c>
      <c r="E37" s="60">
        <v>0.15340000000000001</v>
      </c>
      <c r="F37" s="60">
        <v>0.15079999999999999</v>
      </c>
      <c r="G37" s="60"/>
      <c r="H37" s="60"/>
    </row>
    <row r="38" spans="1:8" ht="24.95" customHeight="1">
      <c r="A38" s="1129">
        <v>8</v>
      </c>
      <c r="B38" s="1129"/>
      <c r="C38" s="1129"/>
      <c r="D38" s="60">
        <v>0.1613</v>
      </c>
      <c r="E38" s="60">
        <v>0.16739999999999999</v>
      </c>
      <c r="F38" s="60">
        <v>0.1643</v>
      </c>
      <c r="G38" s="60"/>
      <c r="H38" s="60"/>
    </row>
    <row r="39" spans="1:8" ht="24.95" customHeight="1">
      <c r="A39" s="1129">
        <v>9</v>
      </c>
      <c r="B39" s="1129"/>
      <c r="C39" s="1129"/>
      <c r="D39" s="60">
        <v>0.1757</v>
      </c>
      <c r="E39" s="60">
        <v>0.18260000000000001</v>
      </c>
      <c r="F39" s="60">
        <v>0.17910000000000001</v>
      </c>
      <c r="G39" s="60"/>
      <c r="H39" s="60"/>
    </row>
    <row r="40" spans="1:8">
      <c r="A40" s="1129">
        <v>10</v>
      </c>
      <c r="B40" s="1129"/>
      <c r="C40" s="1129"/>
      <c r="D40" s="63">
        <v>0.1913</v>
      </c>
      <c r="E40" s="60">
        <v>0.19919999999999999</v>
      </c>
      <c r="F40" s="60">
        <v>0.19520000000000001</v>
      </c>
      <c r="G40" s="63"/>
      <c r="H40" s="63"/>
    </row>
    <row r="41" spans="1:8">
      <c r="A41" s="1138" t="s">
        <v>234</v>
      </c>
      <c r="B41" s="1138"/>
      <c r="C41" s="1138"/>
      <c r="D41" s="1138"/>
      <c r="E41" s="1138"/>
      <c r="F41" s="1138"/>
      <c r="G41" s="1138"/>
      <c r="H41" s="1138"/>
    </row>
    <row r="42" spans="1:8">
      <c r="A42" s="1137" t="s">
        <v>235</v>
      </c>
      <c r="B42" s="1137"/>
      <c r="C42" s="1137"/>
      <c r="D42" s="1137"/>
      <c r="E42" s="1137"/>
      <c r="F42" s="1137"/>
      <c r="G42" s="1137"/>
      <c r="H42" s="1137"/>
    </row>
    <row r="43" spans="1:8">
      <c r="A43" s="1137" t="s">
        <v>487</v>
      </c>
      <c r="B43" s="1137"/>
      <c r="C43" s="1137"/>
      <c r="D43" s="1137"/>
      <c r="E43" s="1137"/>
      <c r="F43" s="1137"/>
      <c r="G43" s="1137"/>
      <c r="H43" s="1137"/>
    </row>
    <row r="44" spans="1:8">
      <c r="A44" s="1137" t="s">
        <v>488</v>
      </c>
      <c r="B44" s="1137"/>
      <c r="C44" s="1137"/>
      <c r="D44" s="1137"/>
      <c r="E44" s="1137"/>
      <c r="F44" s="1137"/>
      <c r="G44" s="1137"/>
      <c r="H44" s="1137"/>
    </row>
  </sheetData>
  <sheetProtection password="F2F3" sheet="1" objects="1" scenarios="1"/>
  <mergeCells count="73">
    <mergeCell ref="A40:C40"/>
    <mergeCell ref="A42:H42"/>
    <mergeCell ref="A43:H43"/>
    <mergeCell ref="A44:H44"/>
    <mergeCell ref="A36:C36"/>
    <mergeCell ref="A37:C37"/>
    <mergeCell ref="A38:C38"/>
    <mergeCell ref="A39:C39"/>
    <mergeCell ref="A41:H41"/>
    <mergeCell ref="A32:C32"/>
    <mergeCell ref="A33:C33"/>
    <mergeCell ref="A34:C34"/>
    <mergeCell ref="A35:C35"/>
    <mergeCell ref="A31:C31"/>
    <mergeCell ref="F23:H24"/>
    <mergeCell ref="A25:H25"/>
    <mergeCell ref="A26:C30"/>
    <mergeCell ref="D27:H27"/>
    <mergeCell ref="D26:H26"/>
    <mergeCell ref="A21:B21"/>
    <mergeCell ref="C21:D21"/>
    <mergeCell ref="G21:H21"/>
    <mergeCell ref="A22:B22"/>
    <mergeCell ref="C22:D22"/>
    <mergeCell ref="G22:H22"/>
    <mergeCell ref="A19:B19"/>
    <mergeCell ref="C19:D19"/>
    <mergeCell ref="G19:H19"/>
    <mergeCell ref="A20:B20"/>
    <mergeCell ref="C20:D20"/>
    <mergeCell ref="G20:H20"/>
    <mergeCell ref="A17:B17"/>
    <mergeCell ref="C17:D17"/>
    <mergeCell ref="G17:H17"/>
    <mergeCell ref="A18:B18"/>
    <mergeCell ref="C18:D18"/>
    <mergeCell ref="G18:H18"/>
    <mergeCell ref="A15:B15"/>
    <mergeCell ref="C15:D15"/>
    <mergeCell ref="G15:H15"/>
    <mergeCell ref="A16:B16"/>
    <mergeCell ref="C16:D16"/>
    <mergeCell ref="G16:H16"/>
    <mergeCell ref="A13:B13"/>
    <mergeCell ref="C13:D13"/>
    <mergeCell ref="G13:H13"/>
    <mergeCell ref="A14:B14"/>
    <mergeCell ref="C14:D14"/>
    <mergeCell ref="G14:H14"/>
    <mergeCell ref="A11:B11"/>
    <mergeCell ref="C11:D11"/>
    <mergeCell ref="G11:H11"/>
    <mergeCell ref="A12:B12"/>
    <mergeCell ref="C12:D12"/>
    <mergeCell ref="G12:H12"/>
    <mergeCell ref="A9:B9"/>
    <mergeCell ref="C9:D9"/>
    <mergeCell ref="G9:H9"/>
    <mergeCell ref="A10:B10"/>
    <mergeCell ref="C10:D10"/>
    <mergeCell ref="G10:H10"/>
    <mergeCell ref="A7:B7"/>
    <mergeCell ref="C7:D7"/>
    <mergeCell ref="G7:H7"/>
    <mergeCell ref="A8:B8"/>
    <mergeCell ref="C8:D8"/>
    <mergeCell ref="G8:H8"/>
    <mergeCell ref="A1:H1"/>
    <mergeCell ref="A2:H2"/>
    <mergeCell ref="A3:H3"/>
    <mergeCell ref="A4:H5"/>
    <mergeCell ref="A6:F6"/>
    <mergeCell ref="G6:H6"/>
  </mergeCells>
  <dataValidations count="1">
    <dataValidation type="date" allowBlank="1" showInputMessage="1" showErrorMessage="1" errorTitle="DATE INELIGIBILITY" error="The date of NSC's IX issue purchased should be greater than 1 April 2011 and not greater than 31-03-2015. Input Date in dd/mm/yyyy format" promptTitle="NSC IX ISSUE - PURCHASE DATE" prompt="The date of purchase of NSC IX issue should be greater than 01-12-2011 and not greater than 20-12-2015. Input Date in dd/mm/yyyy format" sqref="A8:B21">
      <formula1>40878</formula1>
      <formula2>42358</formula2>
    </dataValidation>
  </dataValidations>
  <hyperlinks>
    <hyperlink ref="F23:H24" location="'Data Sheet'!A1" tooltip="Click to return to the Data Sheet" display="Back to Data Sheet"/>
  </hyperlinks>
  <pageMargins left="0.75" right="0.75" top="1" bottom="1" header="0.5" footer="0.5"/>
  <pageSetup paperSize="9" scale="80"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sheetPr codeName="Sheet14"/>
  <dimension ref="A1:P39"/>
  <sheetViews>
    <sheetView workbookViewId="0">
      <selection activeCell="A3" sqref="A3:O3"/>
    </sheetView>
  </sheetViews>
  <sheetFormatPr defaultRowHeight="15"/>
  <cols>
    <col min="1" max="1" width="7" style="218" bestFit="1" customWidth="1"/>
    <col min="2" max="2" width="9.85546875" style="218" customWidth="1"/>
    <col min="3" max="5" width="10.7109375" style="218" bestFit="1" customWidth="1"/>
    <col min="6" max="6" width="10.42578125" style="218" bestFit="1" customWidth="1"/>
    <col min="7" max="7" width="9.140625" style="218" bestFit="1" customWidth="1"/>
    <col min="8" max="8" width="9.140625" style="218"/>
    <col min="9" max="9" width="2.28515625" style="218" bestFit="1" customWidth="1"/>
    <col min="10" max="10" width="8.7109375" style="218" customWidth="1"/>
    <col min="11" max="12" width="8.140625" style="218" customWidth="1"/>
    <col min="13" max="13" width="7.42578125" style="218" customWidth="1"/>
    <col min="14" max="14" width="6.42578125" style="218" customWidth="1"/>
    <col min="15" max="15" width="9.140625" style="218" customWidth="1"/>
    <col min="16" max="16384" width="9.140625" style="218"/>
  </cols>
  <sheetData>
    <row r="1" spans="1:16">
      <c r="A1" s="1142" t="str">
        <f>'Data Sheet'!A1</f>
        <v>UNION BANK OF INDIA</v>
      </c>
      <c r="B1" s="1142"/>
      <c r="C1" s="1142"/>
      <c r="D1" s="1142"/>
      <c r="E1" s="1142"/>
      <c r="F1" s="1142"/>
      <c r="G1" s="1142"/>
      <c r="H1" s="1142"/>
      <c r="I1" s="1142"/>
      <c r="J1" s="1142"/>
      <c r="K1" s="1142"/>
      <c r="L1" s="1142"/>
      <c r="M1" s="1142"/>
      <c r="N1" s="1142"/>
      <c r="O1" s="1142"/>
    </row>
    <row r="2" spans="1:16">
      <c r="A2" s="1142">
        <f>'Data Sheet'!F14</f>
        <v>0</v>
      </c>
      <c r="B2" s="1142"/>
      <c r="C2" s="1142"/>
      <c r="D2" s="1142"/>
      <c r="E2" s="1142"/>
      <c r="F2" s="1142"/>
      <c r="G2" s="1142"/>
      <c r="H2" s="1142"/>
      <c r="I2" s="1142"/>
      <c r="J2" s="1142"/>
      <c r="K2" s="1142"/>
      <c r="L2" s="1142"/>
      <c r="M2" s="1142"/>
      <c r="N2" s="1142"/>
      <c r="O2" s="1142"/>
    </row>
    <row r="3" spans="1:16">
      <c r="A3" s="1142" t="str">
        <f>"INCOME TAX READY RECKONER FOR THE FINANCIAL YEAR " &amp; 'Data Sheet'!F24</f>
        <v>INCOME TAX READY RECKONER FOR THE FINANCIAL YEAR 2020-2021</v>
      </c>
      <c r="B3" s="1142"/>
      <c r="C3" s="1142"/>
      <c r="D3" s="1142"/>
      <c r="E3" s="1142"/>
      <c r="F3" s="1142"/>
      <c r="G3" s="1142"/>
      <c r="H3" s="1142"/>
      <c r="I3" s="1142"/>
      <c r="J3" s="1142"/>
      <c r="K3" s="1142"/>
      <c r="L3" s="1142"/>
      <c r="M3" s="1142"/>
      <c r="N3" s="1142"/>
      <c r="O3" s="1142"/>
    </row>
    <row r="5" spans="1:16">
      <c r="A5" s="1142" t="s">
        <v>819</v>
      </c>
      <c r="B5" s="1142"/>
      <c r="C5" s="1142"/>
      <c r="D5" s="1142"/>
      <c r="E5" s="1142"/>
      <c r="F5" s="1142"/>
      <c r="G5" s="1142"/>
      <c r="H5" s="1142"/>
      <c r="I5" s="1142"/>
      <c r="J5" s="1142"/>
      <c r="K5" s="1142"/>
      <c r="L5" s="1142"/>
      <c r="M5" s="1142"/>
      <c r="N5" s="1142"/>
      <c r="O5" s="1142"/>
    </row>
    <row r="6" spans="1:16">
      <c r="A6" s="221"/>
      <c r="B6" s="221"/>
      <c r="C6" s="221"/>
      <c r="D6" s="221"/>
      <c r="E6" s="221"/>
      <c r="F6" s="221"/>
      <c r="G6" s="221"/>
      <c r="H6" s="221"/>
      <c r="I6" s="221"/>
      <c r="J6" s="221"/>
      <c r="K6" s="221"/>
      <c r="L6" s="221"/>
      <c r="M6" s="221"/>
      <c r="N6" s="221"/>
      <c r="O6" s="221"/>
    </row>
    <row r="7" spans="1:16">
      <c r="A7" s="1142" t="s">
        <v>831</v>
      </c>
      <c r="B7" s="1142"/>
      <c r="C7" s="1142"/>
      <c r="D7" s="1142"/>
      <c r="E7" s="1142"/>
      <c r="F7" s="1142"/>
      <c r="G7" s="1142"/>
      <c r="H7" s="1142"/>
      <c r="I7" s="1142"/>
      <c r="J7" s="1142"/>
      <c r="K7" s="1142"/>
      <c r="L7" s="1142"/>
      <c r="M7" s="1142"/>
      <c r="N7" s="1142"/>
      <c r="O7" s="1142"/>
    </row>
    <row r="9" spans="1:16" s="243" customFormat="1" ht="40.5" customHeight="1">
      <c r="A9" s="242" t="s">
        <v>10</v>
      </c>
      <c r="B9" s="242" t="s">
        <v>820</v>
      </c>
      <c r="C9" s="242" t="s">
        <v>92</v>
      </c>
      <c r="D9" s="242" t="s">
        <v>50</v>
      </c>
      <c r="E9" s="242" t="s">
        <v>821</v>
      </c>
      <c r="F9" s="242" t="s">
        <v>822</v>
      </c>
      <c r="G9" s="242" t="s">
        <v>823</v>
      </c>
      <c r="I9" s="1146" t="s">
        <v>824</v>
      </c>
      <c r="J9" s="1147"/>
      <c r="K9" s="1147"/>
      <c r="L9" s="1147"/>
      <c r="M9" s="1147"/>
      <c r="N9" s="1147"/>
      <c r="O9" s="1148"/>
    </row>
    <row r="10" spans="1:16">
      <c r="A10" s="244">
        <f>'Earnings Sheet'!C5</f>
        <v>43922</v>
      </c>
      <c r="B10" s="245">
        <f>'Data Sheet'!$F$16</f>
        <v>0</v>
      </c>
      <c r="C10" s="246">
        <f>IF(AND('Data Sheet'!$F$39="Yes",'Data Sheet'!$F$40="Full Year"),'Earnings Sheet'!D5,0)</f>
        <v>0</v>
      </c>
      <c r="D10" s="246">
        <f>IF(AND('Data Sheet'!$F$39="Yes",'Data Sheet'!$F$40="Full Year"),'Earnings Sheet'!G5,0)</f>
        <v>0</v>
      </c>
      <c r="E10" s="246">
        <f>C10+D10</f>
        <v>0</v>
      </c>
      <c r="F10" s="246">
        <f>IF(AND('Data Sheet'!$F$39="Yes",'Data Sheet'!$F$40="Full Year"),'Earnings Sheet'!I5,0)</f>
        <v>0</v>
      </c>
      <c r="G10" s="246">
        <f>IF(AND('Data Sheet'!F39="Yes",'Data Sheet'!F40="Full Year"),'Data Sheet'!F41,0)</f>
        <v>0</v>
      </c>
    </row>
    <row r="11" spans="1:16">
      <c r="A11" s="244">
        <f>'Earnings Sheet'!C6</f>
        <v>43952</v>
      </c>
      <c r="B11" s="245">
        <f>B10</f>
        <v>0</v>
      </c>
      <c r="C11" s="246">
        <f>IF(AND('Data Sheet'!$F$39="Yes",'Data Sheet'!$F$40="Full Year"),'Earnings Sheet'!D6,0)</f>
        <v>0</v>
      </c>
      <c r="D11" s="246">
        <f>IF(AND('Data Sheet'!$F$39="Yes",'Data Sheet'!$F$40="Full Year"),'Earnings Sheet'!G6,0)</f>
        <v>0</v>
      </c>
      <c r="E11" s="246">
        <f t="shared" ref="E11:E21" si="0">C11+D11</f>
        <v>0</v>
      </c>
      <c r="F11" s="246">
        <f>IF(AND('Data Sheet'!$F$39="Yes",'Data Sheet'!$F$40="Full Year"),'Earnings Sheet'!I6,0)</f>
        <v>0</v>
      </c>
      <c r="G11" s="246">
        <f>G10</f>
        <v>0</v>
      </c>
      <c r="H11" s="247"/>
      <c r="I11" s="1149">
        <v>1</v>
      </c>
      <c r="J11" s="1151" t="s">
        <v>825</v>
      </c>
      <c r="K11" s="1152"/>
      <c r="L11" s="1152"/>
      <c r="M11" s="1152"/>
      <c r="N11" s="1143">
        <f>IF('Data Sheet'!F40="Full Year",G22,0)</f>
        <v>0</v>
      </c>
      <c r="O11" s="1145"/>
      <c r="P11" s="248"/>
    </row>
    <row r="12" spans="1:16">
      <c r="A12" s="244">
        <f>'Earnings Sheet'!C7</f>
        <v>43983</v>
      </c>
      <c r="B12" s="245">
        <f t="shared" ref="B12:B21" si="1">B11</f>
        <v>0</v>
      </c>
      <c r="C12" s="246">
        <f>IF(AND('Data Sheet'!$F$39="Yes",'Data Sheet'!$F$40="Full Year"),'Earnings Sheet'!D7,0)</f>
        <v>0</v>
      </c>
      <c r="D12" s="246">
        <f>IF(AND('Data Sheet'!$F$39="Yes",'Data Sheet'!$F$40="Full Year"),'Earnings Sheet'!G7,0)</f>
        <v>0</v>
      </c>
      <c r="E12" s="246">
        <f t="shared" si="0"/>
        <v>0</v>
      </c>
      <c r="F12" s="246">
        <f>IF(AND('Data Sheet'!$F$39="Yes",'Data Sheet'!$F$40="Full Year"),'Earnings Sheet'!I7,0)</f>
        <v>0</v>
      </c>
      <c r="G12" s="246">
        <f t="shared" ref="G12:G21" si="2">G11</f>
        <v>0</v>
      </c>
      <c r="I12" s="1150"/>
      <c r="J12" s="1151" t="s">
        <v>826</v>
      </c>
      <c r="K12" s="1152"/>
      <c r="L12" s="1152"/>
      <c r="M12" s="1152"/>
      <c r="N12" s="1143">
        <f>IF('Data Sheet'!F40="Full Year",E22*10%,0)</f>
        <v>0</v>
      </c>
      <c r="O12" s="1144"/>
      <c r="P12" s="248"/>
    </row>
    <row r="13" spans="1:16">
      <c r="A13" s="244">
        <f>'Earnings Sheet'!C8</f>
        <v>44013</v>
      </c>
      <c r="B13" s="245">
        <f t="shared" si="1"/>
        <v>0</v>
      </c>
      <c r="C13" s="246">
        <f>IF(AND('Data Sheet'!$F$39="Yes",'Data Sheet'!$F$40="Full Year"),'Earnings Sheet'!D8,0)</f>
        <v>0</v>
      </c>
      <c r="D13" s="246">
        <f>IF(AND('Data Sheet'!$F$39="Yes",'Data Sheet'!$F$40="Full Year"),'Earnings Sheet'!G8,0)</f>
        <v>0</v>
      </c>
      <c r="E13" s="246">
        <f t="shared" si="0"/>
        <v>0</v>
      </c>
      <c r="F13" s="246">
        <f>IF(AND('Data Sheet'!$F$39="Yes",'Data Sheet'!$F$40="Full Year"),'Earnings Sheet'!I8,0)</f>
        <v>0</v>
      </c>
      <c r="G13" s="246">
        <f t="shared" si="2"/>
        <v>0</v>
      </c>
      <c r="I13" s="1150"/>
      <c r="J13" s="1151" t="s">
        <v>827</v>
      </c>
      <c r="K13" s="1152"/>
      <c r="L13" s="1152"/>
      <c r="M13" s="1153"/>
      <c r="N13" s="1143">
        <f>N11-N12</f>
        <v>0</v>
      </c>
      <c r="O13" s="1145"/>
      <c r="P13" s="248"/>
    </row>
    <row r="14" spans="1:16">
      <c r="A14" s="244">
        <f>'Earnings Sheet'!C9</f>
        <v>44044</v>
      </c>
      <c r="B14" s="245">
        <f t="shared" si="1"/>
        <v>0</v>
      </c>
      <c r="C14" s="246">
        <f>IF(AND('Data Sheet'!$F$39="Yes",'Data Sheet'!$F$40="Full Year"),'Earnings Sheet'!D9,0)</f>
        <v>0</v>
      </c>
      <c r="D14" s="246">
        <f>IF(AND('Data Sheet'!$F$39="Yes",'Data Sheet'!$F$40="Full Year"),'Earnings Sheet'!G9,0)</f>
        <v>0</v>
      </c>
      <c r="E14" s="246">
        <f t="shared" si="0"/>
        <v>0</v>
      </c>
      <c r="F14" s="246">
        <f>IF(AND('Data Sheet'!$F$39="Yes",'Data Sheet'!$F$40="Full Year"),'Earnings Sheet'!I9,0)</f>
        <v>0</v>
      </c>
      <c r="G14" s="246">
        <f t="shared" si="2"/>
        <v>0</v>
      </c>
      <c r="I14" s="249"/>
      <c r="J14" s="827"/>
      <c r="K14" s="827"/>
    </row>
    <row r="15" spans="1:16">
      <c r="A15" s="244">
        <f>'Earnings Sheet'!C10</f>
        <v>44075</v>
      </c>
      <c r="B15" s="245">
        <f t="shared" si="1"/>
        <v>0</v>
      </c>
      <c r="C15" s="246">
        <f>IF(AND('Data Sheet'!$F$39="Yes",'Data Sheet'!$F$40="Full Year"),'Earnings Sheet'!D10,0)</f>
        <v>0</v>
      </c>
      <c r="D15" s="246">
        <f>IF(AND('Data Sheet'!$F$39="Yes",'Data Sheet'!$F$40="Full Year"),'Earnings Sheet'!G10,0)</f>
        <v>0</v>
      </c>
      <c r="E15" s="246">
        <f t="shared" si="0"/>
        <v>0</v>
      </c>
      <c r="F15" s="246">
        <f>IF(AND('Data Sheet'!$F$39="Yes",'Data Sheet'!$F$40="Full Year"),'Earnings Sheet'!I10,0)</f>
        <v>0</v>
      </c>
      <c r="G15" s="246">
        <f t="shared" si="2"/>
        <v>0</v>
      </c>
      <c r="I15" s="250">
        <v>2</v>
      </c>
      <c r="J15" s="1151" t="s">
        <v>828</v>
      </c>
      <c r="K15" s="1152"/>
      <c r="L15" s="1152"/>
      <c r="M15" s="1153"/>
      <c r="N15" s="1143">
        <f>IF('Data Sheet'!F40="Full Year",F22,0)</f>
        <v>0</v>
      </c>
      <c r="O15" s="1145"/>
      <c r="P15" s="248"/>
    </row>
    <row r="16" spans="1:16">
      <c r="A16" s="244">
        <f>'Earnings Sheet'!C11</f>
        <v>44105</v>
      </c>
      <c r="B16" s="245">
        <f t="shared" si="1"/>
        <v>0</v>
      </c>
      <c r="C16" s="246">
        <f>IF(AND('Data Sheet'!$F$39="Yes",'Data Sheet'!$F$40="Full Year"),'Earnings Sheet'!D11,0)</f>
        <v>0</v>
      </c>
      <c r="D16" s="246">
        <f>IF(AND('Data Sheet'!$F$39="Yes",'Data Sheet'!$F$40="Full Year"),'Earnings Sheet'!G11,0)</f>
        <v>0</v>
      </c>
      <c r="E16" s="246">
        <f t="shared" si="0"/>
        <v>0</v>
      </c>
      <c r="F16" s="246">
        <f>IF(AND('Data Sheet'!$F$39="Yes",'Data Sheet'!$F$40="Full Year"),'Earnings Sheet'!I11,0)</f>
        <v>0</v>
      </c>
      <c r="G16" s="246">
        <f t="shared" si="2"/>
        <v>0</v>
      </c>
      <c r="J16" s="1155"/>
      <c r="K16" s="1155"/>
    </row>
    <row r="17" spans="1:16">
      <c r="A17" s="244">
        <f>'Earnings Sheet'!C12</f>
        <v>44136</v>
      </c>
      <c r="B17" s="245">
        <f t="shared" si="1"/>
        <v>0</v>
      </c>
      <c r="C17" s="246">
        <f>IF(AND('Data Sheet'!$F$39="Yes",'Data Sheet'!$F$40="Full Year"),'Earnings Sheet'!D12,0)</f>
        <v>0</v>
      </c>
      <c r="D17" s="246">
        <f>IF(AND('Data Sheet'!$F$39="Yes",'Data Sheet'!$F$40="Full Year"),'Earnings Sheet'!G12,0)</f>
        <v>0</v>
      </c>
      <c r="E17" s="246">
        <f t="shared" si="0"/>
        <v>0</v>
      </c>
      <c r="F17" s="246">
        <f>IF(AND('Data Sheet'!$F$39="Yes",'Data Sheet'!$F$40="Full Year"),'Earnings Sheet'!I12,0)</f>
        <v>0</v>
      </c>
      <c r="G17" s="246">
        <f t="shared" si="2"/>
        <v>0</v>
      </c>
      <c r="I17" s="250">
        <v>3</v>
      </c>
      <c r="J17" s="1151" t="str">
        <f>IF(B10="Metro","50% of Salary","40% of Salary")</f>
        <v>40% of Salary</v>
      </c>
      <c r="K17" s="1152"/>
      <c r="L17" s="1152"/>
      <c r="M17" s="1153"/>
      <c r="N17" s="1143">
        <f>IF('Data Sheet'!F40="Full Year",IF(B10="Metro",E22*50%,E22*40%),0)</f>
        <v>0</v>
      </c>
      <c r="O17" s="1154"/>
      <c r="P17" s="248"/>
    </row>
    <row r="18" spans="1:16">
      <c r="A18" s="244">
        <f>'Earnings Sheet'!C13</f>
        <v>44166</v>
      </c>
      <c r="B18" s="245">
        <f t="shared" si="1"/>
        <v>0</v>
      </c>
      <c r="C18" s="246">
        <f>IF(AND('Data Sheet'!$F$39="Yes",'Data Sheet'!$F$40="Full Year"),'Earnings Sheet'!D13,0)</f>
        <v>0</v>
      </c>
      <c r="D18" s="246">
        <f>IF(AND('Data Sheet'!$F$39="Yes",'Data Sheet'!$F$40="Full Year"),'Earnings Sheet'!G13,0)</f>
        <v>0</v>
      </c>
      <c r="E18" s="246">
        <f t="shared" si="0"/>
        <v>0</v>
      </c>
      <c r="F18" s="246">
        <f>IF(AND('Data Sheet'!$F$39="Yes",'Data Sheet'!$F$40="Full Year"),'Earnings Sheet'!I13,0)</f>
        <v>0</v>
      </c>
      <c r="G18" s="246">
        <f t="shared" si="2"/>
        <v>0</v>
      </c>
      <c r="J18" s="220"/>
      <c r="K18" s="220"/>
    </row>
    <row r="19" spans="1:16">
      <c r="A19" s="244">
        <f>'Earnings Sheet'!C14</f>
        <v>44197</v>
      </c>
      <c r="B19" s="245">
        <f t="shared" si="1"/>
        <v>0</v>
      </c>
      <c r="C19" s="246">
        <f>IF(AND('Data Sheet'!$F$39="Yes",'Data Sheet'!$F$40="Full Year"),'Earnings Sheet'!D14,0)</f>
        <v>0</v>
      </c>
      <c r="D19" s="246">
        <f>IF(AND('Data Sheet'!$F$39="Yes",'Data Sheet'!$F$40="Full Year"),'Earnings Sheet'!G14,0)</f>
        <v>0</v>
      </c>
      <c r="E19" s="246">
        <f t="shared" si="0"/>
        <v>0</v>
      </c>
      <c r="F19" s="246">
        <f>IF(AND('Data Sheet'!$F$39="Yes",'Data Sheet'!$F$40="Full Year"),'Earnings Sheet'!I14,0)</f>
        <v>0</v>
      </c>
      <c r="G19" s="246">
        <f t="shared" si="2"/>
        <v>0</v>
      </c>
      <c r="I19" s="1157" t="s">
        <v>829</v>
      </c>
      <c r="J19" s="1157"/>
      <c r="K19" s="1157"/>
      <c r="L19" s="1157"/>
      <c r="M19" s="1157"/>
      <c r="N19" s="1156">
        <f>IF(MIN(N13,N15,N17)&lt;0,0,MIN(N13,N15,N17))</f>
        <v>0</v>
      </c>
      <c r="O19" s="1156"/>
    </row>
    <row r="20" spans="1:16">
      <c r="A20" s="244">
        <f>'Earnings Sheet'!C15</f>
        <v>44228</v>
      </c>
      <c r="B20" s="245">
        <f t="shared" si="1"/>
        <v>0</v>
      </c>
      <c r="C20" s="246">
        <f>IF(AND('Data Sheet'!$F$39="Yes",'Data Sheet'!$F$40="Full Year"),'Earnings Sheet'!D15,0)</f>
        <v>0</v>
      </c>
      <c r="D20" s="246">
        <f>IF(AND('Data Sheet'!$F$39="Yes",'Data Sheet'!$F$40="Full Year"),'Earnings Sheet'!G15,0)</f>
        <v>0</v>
      </c>
      <c r="E20" s="246">
        <f t="shared" si="0"/>
        <v>0</v>
      </c>
      <c r="F20" s="246">
        <f>IF(AND('Data Sheet'!$F$39="Yes",'Data Sheet'!$F$40="Full Year"),'Earnings Sheet'!I15,0)</f>
        <v>0</v>
      </c>
      <c r="G20" s="246">
        <f t="shared" si="2"/>
        <v>0</v>
      </c>
    </row>
    <row r="21" spans="1:16">
      <c r="A21" s="244">
        <f>'Earnings Sheet'!C16</f>
        <v>44256</v>
      </c>
      <c r="B21" s="245">
        <f t="shared" si="1"/>
        <v>0</v>
      </c>
      <c r="C21" s="246">
        <f>IF(AND('Data Sheet'!$F$39="Yes",'Data Sheet'!$F$40="Full Year"),'Earnings Sheet'!D16,0)</f>
        <v>0</v>
      </c>
      <c r="D21" s="246">
        <f>IF(AND('Data Sheet'!$F$39="Yes",'Data Sheet'!$F$40="Full Year"),'Earnings Sheet'!G16,0)</f>
        <v>0</v>
      </c>
      <c r="E21" s="251">
        <f t="shared" si="0"/>
        <v>0</v>
      </c>
      <c r="F21" s="246">
        <f>IF(AND('Data Sheet'!$F$39="Yes",'Data Sheet'!$F$40="Full Year"),'Earnings Sheet'!I16,0)</f>
        <v>0</v>
      </c>
      <c r="G21" s="246">
        <f t="shared" si="2"/>
        <v>0</v>
      </c>
    </row>
    <row r="22" spans="1:16" ht="15.75">
      <c r="A22" s="890" t="s">
        <v>26</v>
      </c>
      <c r="B22" s="890"/>
      <c r="C22" s="252">
        <f>SUM(C10:C21)</f>
        <v>0</v>
      </c>
      <c r="D22" s="252">
        <f>SUM(D10:D21)</f>
        <v>0</v>
      </c>
      <c r="E22" s="252">
        <f>SUM(E10:E21)</f>
        <v>0</v>
      </c>
      <c r="F22" s="252">
        <f>SUM(F10:F21)</f>
        <v>0</v>
      </c>
      <c r="G22" s="252">
        <f>SUM(G10:G21)</f>
        <v>0</v>
      </c>
    </row>
    <row r="24" spans="1:16">
      <c r="A24" s="1142" t="s">
        <v>835</v>
      </c>
      <c r="B24" s="1142"/>
      <c r="C24" s="1142"/>
      <c r="D24" s="1142"/>
      <c r="E24" s="1142"/>
      <c r="F24" s="1142"/>
      <c r="G24" s="1142"/>
      <c r="H24" s="1142"/>
      <c r="I24" s="1142"/>
      <c r="J24" s="1142"/>
      <c r="K24" s="1142"/>
      <c r="L24" s="1142"/>
      <c r="M24" s="1142"/>
      <c r="N24" s="1142"/>
      <c r="O24" s="1142"/>
    </row>
    <row r="26" spans="1:16" ht="27">
      <c r="A26" s="242" t="s">
        <v>10</v>
      </c>
      <c r="B26" s="242" t="s">
        <v>820</v>
      </c>
      <c r="C26" s="242" t="s">
        <v>92</v>
      </c>
      <c r="D26" s="242" t="s">
        <v>50</v>
      </c>
      <c r="E26" s="242" t="s">
        <v>821</v>
      </c>
      <c r="F26" s="242" t="s">
        <v>822</v>
      </c>
      <c r="G26" s="242" t="s">
        <v>823</v>
      </c>
      <c r="H26" s="243"/>
      <c r="I26" s="1146" t="s">
        <v>824</v>
      </c>
      <c r="J26" s="1147"/>
      <c r="K26" s="1147"/>
      <c r="L26" s="1147"/>
      <c r="M26" s="1147"/>
      <c r="N26" s="1147"/>
      <c r="O26" s="1148"/>
    </row>
    <row r="27" spans="1:16">
      <c r="A27" s="244">
        <f>A10</f>
        <v>43922</v>
      </c>
      <c r="B27" s="245">
        <f>B10</f>
        <v>0</v>
      </c>
      <c r="C27" s="246">
        <f>IF(G27=0,0,'Earnings Sheet'!D5)</f>
        <v>0</v>
      </c>
      <c r="D27" s="246">
        <f>IF(G27=0,0,'Earnings Sheet'!G5)</f>
        <v>0</v>
      </c>
      <c r="E27" s="246">
        <f>C27+D27</f>
        <v>0</v>
      </c>
      <c r="F27" s="246">
        <f>IF(G27=0,0,'Earnings Sheet'!I5)</f>
        <v>0</v>
      </c>
      <c r="G27" s="246">
        <f>IF(AND('Data Sheet'!$F$39="Yes",'Data Sheet'!$F$40="Part of the Year"),'Data Sheet'!$B$44,0)</f>
        <v>0</v>
      </c>
    </row>
    <row r="28" spans="1:16">
      <c r="A28" s="244">
        <f t="shared" ref="A28:A38" si="3">A11</f>
        <v>43952</v>
      </c>
      <c r="B28" s="245">
        <f>B27</f>
        <v>0</v>
      </c>
      <c r="C28" s="246">
        <f>IF(G28=0,0,'Earnings Sheet'!D6)</f>
        <v>0</v>
      </c>
      <c r="D28" s="246">
        <f>IF(G28=0,0,'Earnings Sheet'!G6)</f>
        <v>0</v>
      </c>
      <c r="E28" s="246">
        <f t="shared" ref="E28:E38" si="4">C28+D28</f>
        <v>0</v>
      </c>
      <c r="F28" s="246">
        <f>IF(G28=0,0,'Earnings Sheet'!I6)</f>
        <v>0</v>
      </c>
      <c r="G28" s="246">
        <f>IF(AND('Data Sheet'!$F$39="Yes",'Data Sheet'!$F$40="Part of the Year"),'Data Sheet'!$C$44,0)</f>
        <v>0</v>
      </c>
      <c r="H28" s="247"/>
      <c r="I28" s="1149">
        <v>1</v>
      </c>
      <c r="J28" s="1151" t="s">
        <v>825</v>
      </c>
      <c r="K28" s="1152"/>
      <c r="L28" s="1152"/>
      <c r="M28" s="1152"/>
      <c r="N28" s="1143">
        <f>G39</f>
        <v>0</v>
      </c>
      <c r="O28" s="1154"/>
    </row>
    <row r="29" spans="1:16">
      <c r="A29" s="244">
        <f t="shared" si="3"/>
        <v>43983</v>
      </c>
      <c r="B29" s="245">
        <f t="shared" ref="B29:B38" si="5">B28</f>
        <v>0</v>
      </c>
      <c r="C29" s="246">
        <f>IF(G29=0,0,'Earnings Sheet'!D7)</f>
        <v>0</v>
      </c>
      <c r="D29" s="246">
        <f>IF(G29=0,0,'Earnings Sheet'!G7)</f>
        <v>0</v>
      </c>
      <c r="E29" s="246">
        <f t="shared" si="4"/>
        <v>0</v>
      </c>
      <c r="F29" s="246">
        <f>IF(G29=0,0,'Earnings Sheet'!I7)</f>
        <v>0</v>
      </c>
      <c r="G29" s="246">
        <f>IF(AND('Data Sheet'!$F$39="Yes",'Data Sheet'!$F$40="Part of the Year"),'Data Sheet'!$D$44,0)</f>
        <v>0</v>
      </c>
      <c r="I29" s="1150"/>
      <c r="J29" s="1151" t="s">
        <v>826</v>
      </c>
      <c r="K29" s="1152"/>
      <c r="L29" s="1152"/>
      <c r="M29" s="1152"/>
      <c r="N29" s="1143">
        <f>E39*10%</f>
        <v>0</v>
      </c>
      <c r="O29" s="1154"/>
    </row>
    <row r="30" spans="1:16">
      <c r="A30" s="244">
        <f t="shared" si="3"/>
        <v>44013</v>
      </c>
      <c r="B30" s="245">
        <f t="shared" si="5"/>
        <v>0</v>
      </c>
      <c r="C30" s="246">
        <f>IF(G30=0,0,'Earnings Sheet'!D8)</f>
        <v>0</v>
      </c>
      <c r="D30" s="246">
        <f>IF(G30=0,0,'Earnings Sheet'!G8)</f>
        <v>0</v>
      </c>
      <c r="E30" s="246">
        <f t="shared" si="4"/>
        <v>0</v>
      </c>
      <c r="F30" s="246">
        <f>IF(G30=0,0,'Earnings Sheet'!I8)</f>
        <v>0</v>
      </c>
      <c r="G30" s="246">
        <f>IF(AND('Data Sheet'!$F$39="Yes",'Data Sheet'!$F$40="Part of the Year"),'Data Sheet'!$E$44,0)</f>
        <v>0</v>
      </c>
      <c r="I30" s="1150"/>
      <c r="J30" s="1151" t="s">
        <v>827</v>
      </c>
      <c r="K30" s="1152"/>
      <c r="L30" s="1152"/>
      <c r="M30" s="1153"/>
      <c r="N30" s="1143">
        <f>N28-N29</f>
        <v>0</v>
      </c>
      <c r="O30" s="1154"/>
    </row>
    <row r="31" spans="1:16">
      <c r="A31" s="244">
        <f t="shared" si="3"/>
        <v>44044</v>
      </c>
      <c r="B31" s="245">
        <f t="shared" si="5"/>
        <v>0</v>
      </c>
      <c r="C31" s="246">
        <f>IF(G31=0,0,'Earnings Sheet'!D9)</f>
        <v>0</v>
      </c>
      <c r="D31" s="246">
        <f>IF(G31=0,0,'Earnings Sheet'!G9)</f>
        <v>0</v>
      </c>
      <c r="E31" s="246">
        <f t="shared" si="4"/>
        <v>0</v>
      </c>
      <c r="F31" s="246">
        <f>IF(G31=0,0,'Earnings Sheet'!I9)</f>
        <v>0</v>
      </c>
      <c r="G31" s="246">
        <f>IF(AND('Data Sheet'!$F$39="Yes",'Data Sheet'!$F$40="Part of the Year"),'Data Sheet'!$F$44,0)</f>
        <v>0</v>
      </c>
      <c r="I31" s="249"/>
      <c r="J31" s="827"/>
      <c r="K31" s="827"/>
      <c r="N31" s="253"/>
      <c r="O31" s="253"/>
    </row>
    <row r="32" spans="1:16">
      <c r="A32" s="244">
        <f t="shared" si="3"/>
        <v>44075</v>
      </c>
      <c r="B32" s="245">
        <f t="shared" si="5"/>
        <v>0</v>
      </c>
      <c r="C32" s="246">
        <f>IF(G32=0,0,'Earnings Sheet'!D10)</f>
        <v>0</v>
      </c>
      <c r="D32" s="246">
        <f>IF(G32=0,0,'Earnings Sheet'!G10)</f>
        <v>0</v>
      </c>
      <c r="E32" s="246">
        <f t="shared" si="4"/>
        <v>0</v>
      </c>
      <c r="F32" s="246">
        <f>IF(G32=0,0,'Earnings Sheet'!I10)</f>
        <v>0</v>
      </c>
      <c r="G32" s="246">
        <f>IF(AND('Data Sheet'!$F$39="Yes",'Data Sheet'!$F$40="Part of the Year"),'Data Sheet'!$G$44,0)</f>
        <v>0</v>
      </c>
      <c r="I32" s="250">
        <v>2</v>
      </c>
      <c r="J32" s="1151" t="s">
        <v>828</v>
      </c>
      <c r="K32" s="1152"/>
      <c r="L32" s="1152"/>
      <c r="M32" s="1153"/>
      <c r="N32" s="1143">
        <f>F39</f>
        <v>0</v>
      </c>
      <c r="O32" s="1154"/>
    </row>
    <row r="33" spans="1:15">
      <c r="A33" s="244">
        <f t="shared" si="3"/>
        <v>44105</v>
      </c>
      <c r="B33" s="245">
        <f t="shared" si="5"/>
        <v>0</v>
      </c>
      <c r="C33" s="246">
        <f>IF(G33=0,0,'Earnings Sheet'!D11)</f>
        <v>0</v>
      </c>
      <c r="D33" s="246">
        <f>IF(G33=0,0,'Earnings Sheet'!G11)</f>
        <v>0</v>
      </c>
      <c r="E33" s="246">
        <f t="shared" si="4"/>
        <v>0</v>
      </c>
      <c r="F33" s="246">
        <f>IF(G33=0,0,'Earnings Sheet'!I11)</f>
        <v>0</v>
      </c>
      <c r="G33" s="246">
        <f>IF(AND('Data Sheet'!$F$39="Yes",'Data Sheet'!$F$40="Part of the Year"),'Data Sheet'!$H$44,0)</f>
        <v>0</v>
      </c>
      <c r="J33" s="1155"/>
      <c r="K33" s="1155"/>
      <c r="N33" s="253"/>
      <c r="O33" s="253"/>
    </row>
    <row r="34" spans="1:15">
      <c r="A34" s="244">
        <f t="shared" si="3"/>
        <v>44136</v>
      </c>
      <c r="B34" s="245">
        <f t="shared" si="5"/>
        <v>0</v>
      </c>
      <c r="C34" s="246">
        <f>IF(G34=0,0,'Earnings Sheet'!D12)</f>
        <v>0</v>
      </c>
      <c r="D34" s="246">
        <f>IF(G34=0,0,'Earnings Sheet'!G12)</f>
        <v>0</v>
      </c>
      <c r="E34" s="246">
        <f t="shared" si="4"/>
        <v>0</v>
      </c>
      <c r="F34" s="246">
        <f>IF(G34=0,0,'Earnings Sheet'!I12)</f>
        <v>0</v>
      </c>
      <c r="G34" s="246">
        <f>IF(AND('Data Sheet'!$F$39="Yes",'Data Sheet'!$F$40="Part of the Year"),'Data Sheet'!$I$44,0)</f>
        <v>0</v>
      </c>
      <c r="I34" s="250">
        <v>3</v>
      </c>
      <c r="J34" s="1151" t="str">
        <f>IF(B27="Metro","50% of Salary","40% of Salary")</f>
        <v>40% of Salary</v>
      </c>
      <c r="K34" s="1152"/>
      <c r="L34" s="1152"/>
      <c r="M34" s="1153"/>
      <c r="N34" s="1143">
        <f>IF(B27="Metro",E39*50%,E39*40%)</f>
        <v>0</v>
      </c>
      <c r="O34" s="1154"/>
    </row>
    <row r="35" spans="1:15">
      <c r="A35" s="244">
        <f t="shared" si="3"/>
        <v>44166</v>
      </c>
      <c r="B35" s="245">
        <f t="shared" si="5"/>
        <v>0</v>
      </c>
      <c r="C35" s="246">
        <f>IF(G35=0,0,'Earnings Sheet'!D13)</f>
        <v>0</v>
      </c>
      <c r="D35" s="246">
        <f>IF(G35=0,0,'Earnings Sheet'!G13)</f>
        <v>0</v>
      </c>
      <c r="E35" s="246">
        <f t="shared" si="4"/>
        <v>0</v>
      </c>
      <c r="F35" s="246">
        <f>IF(G35=0,0,'Earnings Sheet'!I13)</f>
        <v>0</v>
      </c>
      <c r="G35" s="246">
        <f>IF(AND('Data Sheet'!$F$39="Yes",'Data Sheet'!$F$40="Part of the Year"),'Data Sheet'!$B$46,0)</f>
        <v>0</v>
      </c>
      <c r="J35" s="220"/>
      <c r="K35" s="220"/>
      <c r="N35" s="253"/>
      <c r="O35" s="253"/>
    </row>
    <row r="36" spans="1:15">
      <c r="A36" s="244">
        <f t="shared" si="3"/>
        <v>44197</v>
      </c>
      <c r="B36" s="245">
        <f t="shared" si="5"/>
        <v>0</v>
      </c>
      <c r="C36" s="246">
        <f>IF(G36=0,0,'Earnings Sheet'!D14)</f>
        <v>0</v>
      </c>
      <c r="D36" s="246">
        <f>IF(G36=0,0,'Earnings Sheet'!G14)</f>
        <v>0</v>
      </c>
      <c r="E36" s="246">
        <f t="shared" si="4"/>
        <v>0</v>
      </c>
      <c r="F36" s="246">
        <f>IF(G36=0,0,'Earnings Sheet'!I14)</f>
        <v>0</v>
      </c>
      <c r="G36" s="246">
        <f>IF(AND('Data Sheet'!$F$39="Yes",'Data Sheet'!$F$40="Part of the Year"),'Data Sheet'!$C$46,0)</f>
        <v>0</v>
      </c>
      <c r="I36" s="1157" t="s">
        <v>829</v>
      </c>
      <c r="J36" s="1157"/>
      <c r="K36" s="1157"/>
      <c r="L36" s="1157"/>
      <c r="M36" s="1157"/>
      <c r="N36" s="1156">
        <f>IF(MIN(N30,N32,N34)&lt;0,0,MIN(N30,N32,N34))</f>
        <v>0</v>
      </c>
      <c r="O36" s="1156"/>
    </row>
    <row r="37" spans="1:15">
      <c r="A37" s="244">
        <f t="shared" si="3"/>
        <v>44228</v>
      </c>
      <c r="B37" s="245">
        <f t="shared" si="5"/>
        <v>0</v>
      </c>
      <c r="C37" s="246">
        <f>IF(G37=0,0,'Earnings Sheet'!D15)</f>
        <v>0</v>
      </c>
      <c r="D37" s="246">
        <f>IF(G37=0,0,'Earnings Sheet'!G15)</f>
        <v>0</v>
      </c>
      <c r="E37" s="246">
        <f t="shared" si="4"/>
        <v>0</v>
      </c>
      <c r="F37" s="246">
        <f>IF(G37=0,0,'Earnings Sheet'!I15)</f>
        <v>0</v>
      </c>
      <c r="G37" s="246">
        <f>IF(AND('Data Sheet'!$F$39="Yes",'Data Sheet'!$F$40="Part of the Year"),'Data Sheet'!$D$46,0)</f>
        <v>0</v>
      </c>
    </row>
    <row r="38" spans="1:15">
      <c r="A38" s="244">
        <f t="shared" si="3"/>
        <v>44256</v>
      </c>
      <c r="B38" s="245">
        <f t="shared" si="5"/>
        <v>0</v>
      </c>
      <c r="C38" s="246">
        <f>IF(G38=0,0,'Earnings Sheet'!D16)</f>
        <v>0</v>
      </c>
      <c r="D38" s="246">
        <f>IF(G38=0,0,'Earnings Sheet'!G16)</f>
        <v>0</v>
      </c>
      <c r="E38" s="251">
        <f t="shared" si="4"/>
        <v>0</v>
      </c>
      <c r="F38" s="246">
        <f>IF(G38=0,0,'Earnings Sheet'!I16)</f>
        <v>0</v>
      </c>
      <c r="G38" s="246">
        <f>IF(AND('Data Sheet'!$F$39="Yes",'Data Sheet'!$F$40="Part of the Year"),'Data Sheet'!$E$46,0)</f>
        <v>0</v>
      </c>
    </row>
    <row r="39" spans="1:15" ht="15.75">
      <c r="A39" s="890" t="s">
        <v>26</v>
      </c>
      <c r="B39" s="890"/>
      <c r="C39" s="252">
        <f>SUM(C27:C38)</f>
        <v>0</v>
      </c>
      <c r="D39" s="252">
        <f>SUM(D27:D38)</f>
        <v>0</v>
      </c>
      <c r="E39" s="252">
        <f>SUM(E27:E38)</f>
        <v>0</v>
      </c>
      <c r="F39" s="252">
        <f>SUM(F27:F38)</f>
        <v>0</v>
      </c>
      <c r="G39" s="252">
        <f>SUM(G27:G38)</f>
        <v>0</v>
      </c>
    </row>
  </sheetData>
  <sheetProtection password="C143" sheet="1" objects="1" scenarios="1" formatCells="0" formatColumns="0" formatRows="0" insertColumns="0" insertRows="0"/>
  <mergeCells count="40">
    <mergeCell ref="A39:B39"/>
    <mergeCell ref="J31:K31"/>
    <mergeCell ref="J32:M32"/>
    <mergeCell ref="N32:O32"/>
    <mergeCell ref="J33:K33"/>
    <mergeCell ref="J34:M34"/>
    <mergeCell ref="N34:O34"/>
    <mergeCell ref="I36:M36"/>
    <mergeCell ref="N36:O36"/>
    <mergeCell ref="N19:O19"/>
    <mergeCell ref="N30:O30"/>
    <mergeCell ref="A24:O24"/>
    <mergeCell ref="I19:M19"/>
    <mergeCell ref="I26:O26"/>
    <mergeCell ref="I28:I30"/>
    <mergeCell ref="N28:O28"/>
    <mergeCell ref="A22:B22"/>
    <mergeCell ref="J29:M29"/>
    <mergeCell ref="J28:M28"/>
    <mergeCell ref="N29:O29"/>
    <mergeCell ref="J30:M30"/>
    <mergeCell ref="J17:M17"/>
    <mergeCell ref="N17:O17"/>
    <mergeCell ref="J16:K16"/>
    <mergeCell ref="J15:M15"/>
    <mergeCell ref="J13:M13"/>
    <mergeCell ref="N13:O13"/>
    <mergeCell ref="N15:O15"/>
    <mergeCell ref="A7:O7"/>
    <mergeCell ref="N12:O12"/>
    <mergeCell ref="J14:K14"/>
    <mergeCell ref="A1:O1"/>
    <mergeCell ref="A2:O2"/>
    <mergeCell ref="A3:O3"/>
    <mergeCell ref="A5:O5"/>
    <mergeCell ref="N11:O11"/>
    <mergeCell ref="I9:O9"/>
    <mergeCell ref="I11:I13"/>
    <mergeCell ref="J11:M11"/>
    <mergeCell ref="J12:M12"/>
  </mergeCells>
  <dataValidations count="1">
    <dataValidation type="list" allowBlank="1" showInputMessage="1" showErrorMessage="1" sqref="B10:B21 B27:B38">
      <formula1>"Metro,Non-Metro"</formula1>
    </dataValidation>
  </dataValidations>
  <printOptions horizontalCentered="1" verticalCentered="1"/>
  <pageMargins left="0.7" right="0.7" top="0.75" bottom="0.75" header="0.3" footer="0.3"/>
  <pageSetup paperSize="9" orientation="landscape" verticalDpi="0" r:id="rId1"/>
  <rowBreaks count="1" manualBreakCount="1">
    <brk id="23" max="16383" man="1"/>
  </rowBreaks>
</worksheet>
</file>

<file path=xl/worksheets/sheet17.xml><?xml version="1.0" encoding="utf-8"?>
<worksheet xmlns="http://schemas.openxmlformats.org/spreadsheetml/2006/main" xmlns:r="http://schemas.openxmlformats.org/officeDocument/2006/relationships">
  <sheetPr codeName="Sheet15">
    <tabColor indexed="53"/>
  </sheetPr>
  <dimension ref="A1:D148"/>
  <sheetViews>
    <sheetView topLeftCell="A25" workbookViewId="0">
      <selection activeCell="F44" sqref="F44"/>
    </sheetView>
  </sheetViews>
  <sheetFormatPr defaultRowHeight="12.75"/>
  <cols>
    <col min="1" max="1" width="26.85546875" style="55" bestFit="1" customWidth="1"/>
    <col min="2" max="2" width="69.7109375" style="55" bestFit="1" customWidth="1"/>
    <col min="3" max="3" width="10.28515625" style="55" bestFit="1" customWidth="1"/>
    <col min="4" max="4" width="7.7109375" style="270" bestFit="1" customWidth="1"/>
    <col min="5" max="16384" width="9.140625" style="55"/>
  </cols>
  <sheetData>
    <row r="1" spans="1:4">
      <c r="A1" s="254" t="s">
        <v>590</v>
      </c>
      <c r="B1" s="254" t="s">
        <v>591</v>
      </c>
      <c r="C1" s="254" t="s">
        <v>524</v>
      </c>
      <c r="D1" s="269" t="s">
        <v>525</v>
      </c>
    </row>
    <row r="2" spans="1:4" s="268" customFormat="1">
      <c r="A2" s="254" t="s">
        <v>953</v>
      </c>
      <c r="B2" s="254" t="s">
        <v>950</v>
      </c>
      <c r="C2" s="254" t="s">
        <v>951</v>
      </c>
      <c r="D2" s="269">
        <v>700069</v>
      </c>
    </row>
    <row r="3" spans="1:4">
      <c r="A3" s="55" t="s">
        <v>611</v>
      </c>
      <c r="B3" s="254" t="s">
        <v>952</v>
      </c>
      <c r="C3" s="55" t="s">
        <v>640</v>
      </c>
      <c r="D3" s="270" t="s">
        <v>641</v>
      </c>
    </row>
    <row r="4" spans="1:4">
      <c r="A4" s="55" t="s">
        <v>603</v>
      </c>
      <c r="B4" s="55" t="s">
        <v>634</v>
      </c>
      <c r="C4" s="55" t="s">
        <v>635</v>
      </c>
      <c r="D4" s="270" t="s">
        <v>636</v>
      </c>
    </row>
    <row r="5" spans="1:4">
      <c r="A5" s="55" t="s">
        <v>602</v>
      </c>
      <c r="B5" s="55" t="s">
        <v>634</v>
      </c>
      <c r="C5" s="55" t="s">
        <v>635</v>
      </c>
      <c r="D5" s="270" t="s">
        <v>636</v>
      </c>
    </row>
    <row r="6" spans="1:4">
      <c r="A6" s="55" t="s">
        <v>609</v>
      </c>
      <c r="B6" s="55" t="s">
        <v>637</v>
      </c>
      <c r="C6" s="55" t="s">
        <v>638</v>
      </c>
      <c r="D6" s="270" t="s">
        <v>639</v>
      </c>
    </row>
    <row r="7" spans="1:4">
      <c r="A7" s="55" t="s">
        <v>596</v>
      </c>
      <c r="B7" s="55" t="s">
        <v>626</v>
      </c>
      <c r="C7" s="55" t="s">
        <v>596</v>
      </c>
      <c r="D7" s="270" t="s">
        <v>627</v>
      </c>
    </row>
    <row r="8" spans="1:4">
      <c r="A8" s="55" t="s">
        <v>617</v>
      </c>
      <c r="B8" s="55" t="s">
        <v>647</v>
      </c>
      <c r="C8" s="55" t="s">
        <v>648</v>
      </c>
      <c r="D8" s="270" t="s">
        <v>649</v>
      </c>
    </row>
    <row r="9" spans="1:4">
      <c r="A9" s="55" t="s">
        <v>599</v>
      </c>
      <c r="B9" s="55" t="s">
        <v>628</v>
      </c>
      <c r="C9" s="55" t="s">
        <v>629</v>
      </c>
      <c r="D9" s="270" t="s">
        <v>630</v>
      </c>
    </row>
    <row r="10" spans="1:4">
      <c r="A10" s="55" t="s">
        <v>598</v>
      </c>
      <c r="B10" s="55" t="s">
        <v>628</v>
      </c>
      <c r="C10" s="55" t="s">
        <v>629</v>
      </c>
      <c r="D10" s="270" t="s">
        <v>630</v>
      </c>
    </row>
    <row r="11" spans="1:4">
      <c r="A11" s="55" t="s">
        <v>619</v>
      </c>
      <c r="B11" s="55" t="s">
        <v>653</v>
      </c>
      <c r="C11" s="55" t="s">
        <v>619</v>
      </c>
      <c r="D11" s="270" t="s">
        <v>654</v>
      </c>
    </row>
    <row r="12" spans="1:4">
      <c r="A12" s="55" t="s">
        <v>597</v>
      </c>
      <c r="B12" s="55" t="s">
        <v>628</v>
      </c>
      <c r="C12" s="55" t="s">
        <v>629</v>
      </c>
      <c r="D12" s="270" t="s">
        <v>630</v>
      </c>
    </row>
    <row r="13" spans="1:4">
      <c r="A13" s="55" t="s">
        <v>592</v>
      </c>
      <c r="B13" s="55" t="s">
        <v>626</v>
      </c>
      <c r="C13" s="55" t="s">
        <v>596</v>
      </c>
      <c r="D13" s="270" t="s">
        <v>627</v>
      </c>
    </row>
    <row r="14" spans="1:4">
      <c r="A14" s="55" t="s">
        <v>594</v>
      </c>
      <c r="B14" s="55" t="s">
        <v>626</v>
      </c>
      <c r="C14" s="55" t="s">
        <v>596</v>
      </c>
      <c r="D14" s="270" t="s">
        <v>627</v>
      </c>
    </row>
    <row r="15" spans="1:4">
      <c r="A15" s="55" t="s">
        <v>595</v>
      </c>
      <c r="B15" s="55" t="s">
        <v>626</v>
      </c>
      <c r="C15" s="55" t="s">
        <v>596</v>
      </c>
      <c r="D15" s="270" t="s">
        <v>627</v>
      </c>
    </row>
    <row r="16" spans="1:4">
      <c r="A16" s="55" t="s">
        <v>610</v>
      </c>
      <c r="B16" s="55" t="s">
        <v>637</v>
      </c>
      <c r="C16" s="55" t="s">
        <v>638</v>
      </c>
      <c r="D16" s="270" t="s">
        <v>639</v>
      </c>
    </row>
    <row r="17" spans="1:4">
      <c r="A17" s="254" t="s">
        <v>906</v>
      </c>
      <c r="B17" s="254" t="s">
        <v>907</v>
      </c>
      <c r="C17" s="254" t="s">
        <v>908</v>
      </c>
      <c r="D17" s="269" t="s">
        <v>909</v>
      </c>
    </row>
    <row r="18" spans="1:4">
      <c r="A18" s="55" t="s">
        <v>614</v>
      </c>
      <c r="B18" s="55" t="s">
        <v>644</v>
      </c>
      <c r="C18" s="55" t="s">
        <v>646</v>
      </c>
      <c r="D18" s="270" t="s">
        <v>645</v>
      </c>
    </row>
    <row r="19" spans="1:4">
      <c r="A19" s="55" t="s">
        <v>615</v>
      </c>
      <c r="B19" s="55" t="s">
        <v>644</v>
      </c>
      <c r="C19" s="55" t="s">
        <v>646</v>
      </c>
      <c r="D19" s="270" t="s">
        <v>645</v>
      </c>
    </row>
    <row r="20" spans="1:4">
      <c r="A20" s="55" t="s">
        <v>616</v>
      </c>
      <c r="B20" s="55" t="s">
        <v>647</v>
      </c>
      <c r="C20" s="55" t="s">
        <v>648</v>
      </c>
      <c r="D20" s="270" t="s">
        <v>649</v>
      </c>
    </row>
    <row r="21" spans="1:4">
      <c r="A21" s="55" t="s">
        <v>620</v>
      </c>
      <c r="B21" s="254" t="s">
        <v>958</v>
      </c>
      <c r="C21" s="55" t="s">
        <v>655</v>
      </c>
      <c r="D21" s="269" t="s">
        <v>959</v>
      </c>
    </row>
    <row r="22" spans="1:4">
      <c r="A22" s="55" t="s">
        <v>621</v>
      </c>
      <c r="B22" s="254" t="s">
        <v>960</v>
      </c>
      <c r="C22" s="55" t="s">
        <v>657</v>
      </c>
      <c r="D22" s="270" t="s">
        <v>656</v>
      </c>
    </row>
    <row r="23" spans="1:4">
      <c r="A23" s="55" t="s">
        <v>622</v>
      </c>
      <c r="B23" s="254" t="s">
        <v>956</v>
      </c>
      <c r="C23" s="55" t="s">
        <v>658</v>
      </c>
      <c r="D23" s="269" t="s">
        <v>957</v>
      </c>
    </row>
    <row r="24" spans="1:4">
      <c r="A24" s="55" t="s">
        <v>604</v>
      </c>
      <c r="B24" s="254" t="s">
        <v>954</v>
      </c>
      <c r="C24" s="55" t="s">
        <v>635</v>
      </c>
      <c r="D24" s="269" t="s">
        <v>955</v>
      </c>
    </row>
    <row r="25" spans="1:4">
      <c r="A25" s="55" t="s">
        <v>601</v>
      </c>
      <c r="B25" s="254" t="s">
        <v>954</v>
      </c>
      <c r="C25" s="55" t="s">
        <v>635</v>
      </c>
      <c r="D25" s="269" t="s">
        <v>955</v>
      </c>
    </row>
    <row r="26" spans="1:4">
      <c r="A26" s="55" t="s">
        <v>605</v>
      </c>
      <c r="B26" s="254" t="s">
        <v>954</v>
      </c>
      <c r="C26" s="55" t="s">
        <v>635</v>
      </c>
      <c r="D26" s="269" t="s">
        <v>955</v>
      </c>
    </row>
    <row r="27" spans="1:4">
      <c r="A27" s="55" t="s">
        <v>606</v>
      </c>
      <c r="B27" s="254" t="s">
        <v>954</v>
      </c>
      <c r="C27" s="55" t="s">
        <v>635</v>
      </c>
      <c r="D27" s="269" t="s">
        <v>955</v>
      </c>
    </row>
    <row r="28" spans="1:4">
      <c r="A28" s="55" t="s">
        <v>618</v>
      </c>
      <c r="B28" s="55" t="s">
        <v>650</v>
      </c>
      <c r="C28" s="55" t="s">
        <v>651</v>
      </c>
      <c r="D28" s="270" t="s">
        <v>652</v>
      </c>
    </row>
    <row r="29" spans="1:4">
      <c r="A29" s="55" t="s">
        <v>613</v>
      </c>
      <c r="B29" s="55" t="s">
        <v>642</v>
      </c>
      <c r="C29" s="55" t="s">
        <v>513</v>
      </c>
      <c r="D29" s="270" t="s">
        <v>643</v>
      </c>
    </row>
    <row r="30" spans="1:4">
      <c r="A30" s="55" t="s">
        <v>593</v>
      </c>
      <c r="B30" s="55" t="s">
        <v>626</v>
      </c>
      <c r="C30" s="55" t="s">
        <v>596</v>
      </c>
      <c r="D30" s="270" t="s">
        <v>627</v>
      </c>
    </row>
    <row r="31" spans="1:4">
      <c r="A31" s="55" t="s">
        <v>600</v>
      </c>
      <c r="B31" s="55" t="s">
        <v>631</v>
      </c>
      <c r="C31" s="55" t="s">
        <v>632</v>
      </c>
      <c r="D31" s="270" t="s">
        <v>633</v>
      </c>
    </row>
    <row r="32" spans="1:4">
      <c r="A32" s="55" t="s">
        <v>607</v>
      </c>
      <c r="B32" s="55" t="s">
        <v>634</v>
      </c>
      <c r="C32" s="55" t="s">
        <v>635</v>
      </c>
      <c r="D32" s="270" t="s">
        <v>636</v>
      </c>
    </row>
    <row r="33" spans="1:4">
      <c r="A33" s="55" t="s">
        <v>612</v>
      </c>
      <c r="B33" s="55" t="s">
        <v>642</v>
      </c>
      <c r="C33" s="55" t="s">
        <v>513</v>
      </c>
      <c r="D33" s="270" t="s">
        <v>643</v>
      </c>
    </row>
    <row r="34" spans="1:4">
      <c r="A34" s="55" t="s">
        <v>608</v>
      </c>
      <c r="B34" s="55" t="s">
        <v>634</v>
      </c>
      <c r="C34" s="55" t="s">
        <v>635</v>
      </c>
      <c r="D34" s="270" t="s">
        <v>636</v>
      </c>
    </row>
    <row r="35" spans="1:4">
      <c r="A35" s="55" t="s">
        <v>623</v>
      </c>
      <c r="B35" s="55" t="s">
        <v>661</v>
      </c>
      <c r="C35" s="55" t="s">
        <v>659</v>
      </c>
      <c r="D35" s="270" t="s">
        <v>660</v>
      </c>
    </row>
    <row r="36" spans="1:4">
      <c r="A36" s="254" t="s">
        <v>624</v>
      </c>
      <c r="B36" s="254" t="s">
        <v>948</v>
      </c>
      <c r="C36" s="55" t="s">
        <v>662</v>
      </c>
      <c r="D36" s="270">
        <v>226001</v>
      </c>
    </row>
    <row r="37" spans="1:4" s="268" customFormat="1">
      <c r="A37" s="254" t="s">
        <v>945</v>
      </c>
      <c r="D37" s="270"/>
    </row>
    <row r="38" spans="1:4" s="268" customFormat="1">
      <c r="A38" s="254" t="s">
        <v>946</v>
      </c>
      <c r="B38" s="254" t="s">
        <v>949</v>
      </c>
      <c r="C38" s="254" t="s">
        <v>659</v>
      </c>
      <c r="D38" s="270">
        <v>208001</v>
      </c>
    </row>
    <row r="39" spans="1:4" s="268" customFormat="1">
      <c r="A39" s="254" t="s">
        <v>947</v>
      </c>
      <c r="B39" s="254" t="s">
        <v>950</v>
      </c>
      <c r="C39" s="254" t="s">
        <v>951</v>
      </c>
      <c r="D39" s="270">
        <v>700069</v>
      </c>
    </row>
    <row r="40" spans="1:4" s="268" customFormat="1">
      <c r="A40" s="254"/>
      <c r="D40" s="270"/>
    </row>
    <row r="42" spans="1:4">
      <c r="A42" s="254" t="s">
        <v>664</v>
      </c>
      <c r="B42" s="254" t="s">
        <v>665</v>
      </c>
    </row>
    <row r="43" spans="1:4">
      <c r="A43" s="254" t="s">
        <v>666</v>
      </c>
      <c r="B43" s="254" t="s">
        <v>623</v>
      </c>
    </row>
    <row r="44" spans="1:4">
      <c r="A44" s="254" t="s">
        <v>739</v>
      </c>
      <c r="B44" s="254" t="s">
        <v>766</v>
      </c>
    </row>
    <row r="45" spans="1:4">
      <c r="A45" s="254" t="s">
        <v>756</v>
      </c>
      <c r="B45" s="254" t="s">
        <v>768</v>
      </c>
    </row>
    <row r="46" spans="1:4">
      <c r="A46" s="254" t="s">
        <v>667</v>
      </c>
      <c r="B46" s="254" t="s">
        <v>623</v>
      </c>
    </row>
    <row r="47" spans="1:4">
      <c r="A47" s="254" t="s">
        <v>698</v>
      </c>
      <c r="B47" s="254" t="s">
        <v>624</v>
      </c>
    </row>
    <row r="48" spans="1:4">
      <c r="A48" s="254" t="s">
        <v>757</v>
      </c>
      <c r="B48" s="254" t="s">
        <v>768</v>
      </c>
    </row>
    <row r="49" spans="1:2">
      <c r="A49" s="254" t="s">
        <v>668</v>
      </c>
      <c r="B49" s="254" t="s">
        <v>623</v>
      </c>
    </row>
    <row r="50" spans="1:2">
      <c r="A50" s="254" t="s">
        <v>740</v>
      </c>
      <c r="B50" s="254" t="s">
        <v>766</v>
      </c>
    </row>
    <row r="51" spans="1:2">
      <c r="A51" s="254" t="s">
        <v>699</v>
      </c>
      <c r="B51" s="254" t="s">
        <v>624</v>
      </c>
    </row>
    <row r="52" spans="1:2">
      <c r="A52" s="254" t="s">
        <v>700</v>
      </c>
      <c r="B52" s="254" t="s">
        <v>624</v>
      </c>
    </row>
    <row r="53" spans="1:2">
      <c r="A53" s="254" t="s">
        <v>669</v>
      </c>
      <c r="B53" s="254" t="s">
        <v>623</v>
      </c>
    </row>
    <row r="54" spans="1:2">
      <c r="A54" s="254" t="s">
        <v>701</v>
      </c>
      <c r="B54" s="254" t="s">
        <v>624</v>
      </c>
    </row>
    <row r="55" spans="1:2">
      <c r="A55" s="254" t="s">
        <v>702</v>
      </c>
      <c r="B55" s="254" t="s">
        <v>624</v>
      </c>
    </row>
    <row r="56" spans="1:2">
      <c r="A56" s="254" t="s">
        <v>703</v>
      </c>
      <c r="B56" s="254" t="s">
        <v>624</v>
      </c>
    </row>
    <row r="57" spans="1:2">
      <c r="A57" s="254" t="s">
        <v>670</v>
      </c>
      <c r="B57" s="254" t="s">
        <v>623</v>
      </c>
    </row>
    <row r="58" spans="1:2">
      <c r="A58" s="254" t="s">
        <v>704</v>
      </c>
      <c r="B58" s="254" t="s">
        <v>624</v>
      </c>
    </row>
    <row r="59" spans="1:2">
      <c r="A59" s="254" t="s">
        <v>705</v>
      </c>
      <c r="B59" s="254" t="s">
        <v>624</v>
      </c>
    </row>
    <row r="60" spans="1:2">
      <c r="A60" s="254" t="s">
        <v>706</v>
      </c>
      <c r="B60" s="254" t="s">
        <v>624</v>
      </c>
    </row>
    <row r="61" spans="1:2">
      <c r="A61" s="254" t="s">
        <v>741</v>
      </c>
      <c r="B61" s="254" t="s">
        <v>766</v>
      </c>
    </row>
    <row r="62" spans="1:2">
      <c r="A62" s="254" t="s">
        <v>707</v>
      </c>
      <c r="B62" s="254" t="s">
        <v>624</v>
      </c>
    </row>
    <row r="63" spans="1:2">
      <c r="A63" s="254" t="s">
        <v>758</v>
      </c>
      <c r="B63" s="254" t="s">
        <v>768</v>
      </c>
    </row>
    <row r="64" spans="1:2">
      <c r="A64" s="254" t="s">
        <v>708</v>
      </c>
      <c r="B64" s="254" t="s">
        <v>624</v>
      </c>
    </row>
    <row r="65" spans="1:2">
      <c r="A65" s="254" t="s">
        <v>671</v>
      </c>
      <c r="B65" s="254" t="s">
        <v>623</v>
      </c>
    </row>
    <row r="66" spans="1:2">
      <c r="A66" s="254" t="s">
        <v>759</v>
      </c>
      <c r="B66" s="254" t="s">
        <v>768</v>
      </c>
    </row>
    <row r="67" spans="1:2">
      <c r="A67" s="254" t="s">
        <v>709</v>
      </c>
      <c r="B67" s="254" t="s">
        <v>624</v>
      </c>
    </row>
    <row r="68" spans="1:2">
      <c r="A68" s="254" t="s">
        <v>760</v>
      </c>
      <c r="B68" s="254" t="s">
        <v>768</v>
      </c>
    </row>
    <row r="69" spans="1:2">
      <c r="A69" s="254" t="s">
        <v>672</v>
      </c>
      <c r="B69" s="254" t="s">
        <v>623</v>
      </c>
    </row>
    <row r="70" spans="1:2">
      <c r="A70" s="254" t="s">
        <v>695</v>
      </c>
      <c r="B70" s="254" t="s">
        <v>623</v>
      </c>
    </row>
    <row r="71" spans="1:2">
      <c r="A71" s="254" t="s">
        <v>742</v>
      </c>
      <c r="B71" s="254" t="s">
        <v>766</v>
      </c>
    </row>
    <row r="72" spans="1:2">
      <c r="A72" s="254" t="s">
        <v>710</v>
      </c>
      <c r="B72" s="254" t="s">
        <v>624</v>
      </c>
    </row>
    <row r="73" spans="1:2">
      <c r="A73" s="254" t="s">
        <v>673</v>
      </c>
      <c r="B73" s="254" t="s">
        <v>623</v>
      </c>
    </row>
    <row r="74" spans="1:2">
      <c r="A74" s="254" t="s">
        <v>674</v>
      </c>
      <c r="B74" s="254" t="s">
        <v>623</v>
      </c>
    </row>
    <row r="75" spans="1:2">
      <c r="A75" s="254" t="s">
        <v>769</v>
      </c>
      <c r="B75" s="254" t="s">
        <v>624</v>
      </c>
    </row>
    <row r="76" spans="1:2">
      <c r="A76" s="254" t="s">
        <v>675</v>
      </c>
      <c r="B76" s="254" t="s">
        <v>623</v>
      </c>
    </row>
    <row r="77" spans="1:2">
      <c r="A77" s="254" t="s">
        <v>711</v>
      </c>
      <c r="B77" s="254" t="s">
        <v>624</v>
      </c>
    </row>
    <row r="78" spans="1:2">
      <c r="A78" s="254" t="s">
        <v>676</v>
      </c>
      <c r="B78" s="254" t="s">
        <v>623</v>
      </c>
    </row>
    <row r="79" spans="1:2">
      <c r="A79" s="254" t="s">
        <v>764</v>
      </c>
      <c r="B79" s="254" t="s">
        <v>768</v>
      </c>
    </row>
    <row r="80" spans="1:2">
      <c r="A80" s="254" t="s">
        <v>678</v>
      </c>
      <c r="B80" s="254" t="s">
        <v>623</v>
      </c>
    </row>
    <row r="81" spans="1:2">
      <c r="A81" s="254" t="s">
        <v>677</v>
      </c>
      <c r="B81" s="254" t="s">
        <v>623</v>
      </c>
    </row>
    <row r="82" spans="1:2">
      <c r="A82" s="254" t="s">
        <v>712</v>
      </c>
      <c r="B82" s="254" t="s">
        <v>624</v>
      </c>
    </row>
    <row r="83" spans="1:2">
      <c r="A83" s="254" t="s">
        <v>713</v>
      </c>
      <c r="B83" s="254" t="s">
        <v>624</v>
      </c>
    </row>
    <row r="84" spans="1:2">
      <c r="A84" s="254" t="s">
        <v>761</v>
      </c>
      <c r="B84" s="254" t="s">
        <v>768</v>
      </c>
    </row>
    <row r="85" spans="1:2">
      <c r="A85" s="254" t="s">
        <v>714</v>
      </c>
      <c r="B85" s="254" t="s">
        <v>624</v>
      </c>
    </row>
    <row r="86" spans="1:2">
      <c r="A86" s="254" t="s">
        <v>679</v>
      </c>
      <c r="B86" s="254" t="s">
        <v>623</v>
      </c>
    </row>
    <row r="87" spans="1:2">
      <c r="A87" s="254" t="s">
        <v>679</v>
      </c>
      <c r="B87" s="254" t="s">
        <v>624</v>
      </c>
    </row>
    <row r="88" spans="1:2">
      <c r="A88" s="254" t="s">
        <v>680</v>
      </c>
      <c r="B88" s="254" t="s">
        <v>623</v>
      </c>
    </row>
    <row r="89" spans="1:2">
      <c r="A89" s="254" t="s">
        <v>715</v>
      </c>
      <c r="B89" s="254" t="s">
        <v>624</v>
      </c>
    </row>
    <row r="90" spans="1:2">
      <c r="A90" s="254" t="s">
        <v>681</v>
      </c>
      <c r="B90" s="254" t="s">
        <v>623</v>
      </c>
    </row>
    <row r="91" spans="1:2">
      <c r="A91" s="254" t="s">
        <v>744</v>
      </c>
      <c r="B91" s="254" t="s">
        <v>766</v>
      </c>
    </row>
    <row r="92" spans="1:2">
      <c r="A92" s="254" t="s">
        <v>682</v>
      </c>
      <c r="B92" s="254" t="s">
        <v>623</v>
      </c>
    </row>
    <row r="93" spans="1:2">
      <c r="A93" s="254" t="s">
        <v>743</v>
      </c>
      <c r="B93" s="254" t="s">
        <v>766</v>
      </c>
    </row>
    <row r="94" spans="1:2">
      <c r="A94" s="254" t="s">
        <v>716</v>
      </c>
      <c r="B94" s="254" t="s">
        <v>624</v>
      </c>
    </row>
    <row r="95" spans="1:2">
      <c r="A95" s="254" t="s">
        <v>683</v>
      </c>
      <c r="B95" s="254" t="s">
        <v>623</v>
      </c>
    </row>
    <row r="96" spans="1:2">
      <c r="A96" s="254" t="s">
        <v>684</v>
      </c>
      <c r="B96" s="254" t="s">
        <v>623</v>
      </c>
    </row>
    <row r="97" spans="1:2">
      <c r="A97" s="254" t="s">
        <v>685</v>
      </c>
      <c r="B97" s="254" t="s">
        <v>623</v>
      </c>
    </row>
    <row r="98" spans="1:2">
      <c r="A98" s="254" t="s">
        <v>686</v>
      </c>
      <c r="B98" s="254" t="s">
        <v>623</v>
      </c>
    </row>
    <row r="99" spans="1:2">
      <c r="A99" s="254" t="s">
        <v>687</v>
      </c>
      <c r="B99" s="254" t="s">
        <v>623</v>
      </c>
    </row>
    <row r="100" spans="1:2">
      <c r="A100" s="254" t="s">
        <v>717</v>
      </c>
      <c r="B100" s="254" t="s">
        <v>624</v>
      </c>
    </row>
    <row r="101" spans="1:2">
      <c r="A101" s="254" t="s">
        <v>718</v>
      </c>
      <c r="B101" s="254" t="s">
        <v>624</v>
      </c>
    </row>
    <row r="102" spans="1:2">
      <c r="A102" s="254" t="s">
        <v>696</v>
      </c>
      <c r="B102" s="254" t="s">
        <v>623</v>
      </c>
    </row>
    <row r="103" spans="1:2">
      <c r="A103" s="254" t="s">
        <v>719</v>
      </c>
      <c r="B103" s="254" t="s">
        <v>624</v>
      </c>
    </row>
    <row r="104" spans="1:2">
      <c r="A104" s="254" t="s">
        <v>745</v>
      </c>
      <c r="B104" s="254" t="s">
        <v>766</v>
      </c>
    </row>
    <row r="105" spans="1:2">
      <c r="A105" s="254" t="s">
        <v>720</v>
      </c>
      <c r="B105" s="254" t="s">
        <v>624</v>
      </c>
    </row>
    <row r="106" spans="1:2">
      <c r="A106" s="254" t="s">
        <v>721</v>
      </c>
      <c r="B106" s="254" t="s">
        <v>624</v>
      </c>
    </row>
    <row r="107" spans="1:2">
      <c r="A107" s="254" t="s">
        <v>688</v>
      </c>
      <c r="B107" s="254" t="s">
        <v>623</v>
      </c>
    </row>
    <row r="108" spans="1:2">
      <c r="A108" s="254" t="s">
        <v>746</v>
      </c>
      <c r="B108" s="254" t="s">
        <v>766</v>
      </c>
    </row>
    <row r="109" spans="1:2">
      <c r="A109" s="254" t="s">
        <v>662</v>
      </c>
      <c r="B109" s="254" t="s">
        <v>624</v>
      </c>
    </row>
    <row r="110" spans="1:2">
      <c r="A110" s="254" t="s">
        <v>722</v>
      </c>
      <c r="B110" s="254" t="s">
        <v>624</v>
      </c>
    </row>
    <row r="111" spans="1:2">
      <c r="A111" s="254" t="s">
        <v>689</v>
      </c>
      <c r="B111" s="254" t="s">
        <v>623</v>
      </c>
    </row>
    <row r="112" spans="1:2">
      <c r="A112" s="254" t="s">
        <v>690</v>
      </c>
      <c r="B112" s="254" t="s">
        <v>623</v>
      </c>
    </row>
    <row r="113" spans="1:2">
      <c r="A113" s="254" t="s">
        <v>723</v>
      </c>
      <c r="B113" s="254" t="s">
        <v>624</v>
      </c>
    </row>
    <row r="114" spans="1:2">
      <c r="A114" s="254" t="s">
        <v>691</v>
      </c>
      <c r="B114" s="254" t="s">
        <v>623</v>
      </c>
    </row>
    <row r="115" spans="1:2">
      <c r="A115" s="254" t="s">
        <v>692</v>
      </c>
      <c r="B115" s="254" t="s">
        <v>623</v>
      </c>
    </row>
    <row r="116" spans="1:2">
      <c r="A116" s="254" t="s">
        <v>724</v>
      </c>
      <c r="B116" s="254" t="s">
        <v>624</v>
      </c>
    </row>
    <row r="117" spans="1:2">
      <c r="A117" s="254" t="s">
        <v>725</v>
      </c>
      <c r="B117" s="254" t="s">
        <v>624</v>
      </c>
    </row>
    <row r="118" spans="1:2">
      <c r="A118" s="254" t="s">
        <v>658</v>
      </c>
      <c r="B118" s="254" t="s">
        <v>767</v>
      </c>
    </row>
    <row r="119" spans="1:2">
      <c r="A119" s="254" t="s">
        <v>693</v>
      </c>
      <c r="B119" s="254" t="s">
        <v>623</v>
      </c>
    </row>
    <row r="120" spans="1:2">
      <c r="A120" s="254" t="s">
        <v>657</v>
      </c>
      <c r="B120" s="254" t="s">
        <v>768</v>
      </c>
    </row>
    <row r="121" spans="1:2">
      <c r="A121" s="254" t="s">
        <v>726</v>
      </c>
      <c r="B121" s="254" t="s">
        <v>624</v>
      </c>
    </row>
    <row r="122" spans="1:2">
      <c r="A122" s="254" t="s">
        <v>747</v>
      </c>
      <c r="B122" s="254" t="s">
        <v>766</v>
      </c>
    </row>
    <row r="123" spans="1:2">
      <c r="A123" s="254" t="s">
        <v>748</v>
      </c>
      <c r="B123" s="254" t="s">
        <v>766</v>
      </c>
    </row>
    <row r="124" spans="1:2">
      <c r="A124" s="254" t="s">
        <v>727</v>
      </c>
      <c r="B124" s="254" t="s">
        <v>624</v>
      </c>
    </row>
    <row r="125" spans="1:2">
      <c r="A125" s="254" t="s">
        <v>728</v>
      </c>
      <c r="B125" s="254" t="s">
        <v>624</v>
      </c>
    </row>
    <row r="126" spans="1:2">
      <c r="A126" s="254" t="s">
        <v>655</v>
      </c>
      <c r="B126" s="254" t="s">
        <v>766</v>
      </c>
    </row>
    <row r="127" spans="1:2">
      <c r="A127" s="254" t="s">
        <v>729</v>
      </c>
      <c r="B127" s="254" t="s">
        <v>624</v>
      </c>
    </row>
    <row r="128" spans="1:2">
      <c r="A128" s="254" t="s">
        <v>749</v>
      </c>
      <c r="B128" s="254" t="s">
        <v>766</v>
      </c>
    </row>
    <row r="129" spans="1:2">
      <c r="A129" s="254" t="s">
        <v>730</v>
      </c>
      <c r="B129" s="254" t="s">
        <v>624</v>
      </c>
    </row>
    <row r="130" spans="1:2">
      <c r="A130" s="254" t="s">
        <v>750</v>
      </c>
      <c r="B130" s="254" t="s">
        <v>766</v>
      </c>
    </row>
    <row r="131" spans="1:2">
      <c r="A131" s="254" t="s">
        <v>697</v>
      </c>
      <c r="B131" s="254" t="s">
        <v>623</v>
      </c>
    </row>
    <row r="132" spans="1:2">
      <c r="A132" s="254" t="s">
        <v>731</v>
      </c>
      <c r="B132" s="254" t="s">
        <v>624</v>
      </c>
    </row>
    <row r="133" spans="1:2">
      <c r="A133" s="254" t="s">
        <v>751</v>
      </c>
      <c r="B133" s="254" t="s">
        <v>766</v>
      </c>
    </row>
    <row r="134" spans="1:2">
      <c r="A134" s="254" t="s">
        <v>732</v>
      </c>
      <c r="B134" s="254" t="s">
        <v>624</v>
      </c>
    </row>
    <row r="135" spans="1:2">
      <c r="A135" s="254" t="s">
        <v>752</v>
      </c>
      <c r="B135" s="254" t="s">
        <v>766</v>
      </c>
    </row>
    <row r="136" spans="1:2">
      <c r="A136" s="254" t="s">
        <v>733</v>
      </c>
      <c r="B136" s="254" t="s">
        <v>624</v>
      </c>
    </row>
    <row r="137" spans="1:2">
      <c r="A137" s="254" t="s">
        <v>694</v>
      </c>
      <c r="B137" s="254" t="s">
        <v>623</v>
      </c>
    </row>
    <row r="138" spans="1:2">
      <c r="A138" s="254" t="s">
        <v>734</v>
      </c>
      <c r="B138" s="254" t="s">
        <v>624</v>
      </c>
    </row>
    <row r="139" spans="1:2">
      <c r="A139" s="254" t="s">
        <v>753</v>
      </c>
      <c r="B139" s="254" t="s">
        <v>766</v>
      </c>
    </row>
    <row r="140" spans="1:2">
      <c r="A140" s="254" t="s">
        <v>735</v>
      </c>
      <c r="B140" s="254" t="s">
        <v>624</v>
      </c>
    </row>
    <row r="141" spans="1:2">
      <c r="A141" s="254" t="s">
        <v>754</v>
      </c>
      <c r="B141" s="254" t="s">
        <v>766</v>
      </c>
    </row>
    <row r="142" spans="1:2">
      <c r="A142" s="254" t="s">
        <v>736</v>
      </c>
      <c r="B142" s="254" t="s">
        <v>624</v>
      </c>
    </row>
    <row r="143" spans="1:2">
      <c r="A143" s="254" t="s">
        <v>737</v>
      </c>
      <c r="B143" s="254" t="s">
        <v>624</v>
      </c>
    </row>
    <row r="144" spans="1:2">
      <c r="A144" s="254" t="s">
        <v>755</v>
      </c>
      <c r="B144" s="254" t="s">
        <v>766</v>
      </c>
    </row>
    <row r="145" spans="1:2">
      <c r="A145" s="254" t="s">
        <v>738</v>
      </c>
      <c r="B145" s="254" t="s">
        <v>624</v>
      </c>
    </row>
    <row r="146" spans="1:2">
      <c r="A146" s="254" t="s">
        <v>762</v>
      </c>
      <c r="B146" s="254" t="s">
        <v>768</v>
      </c>
    </row>
    <row r="147" spans="1:2">
      <c r="A147" s="254" t="s">
        <v>763</v>
      </c>
      <c r="B147" s="254" t="s">
        <v>768</v>
      </c>
    </row>
    <row r="148" spans="1:2">
      <c r="A148" s="254" t="s">
        <v>765</v>
      </c>
      <c r="B148" s="254" t="s">
        <v>768</v>
      </c>
    </row>
  </sheetData>
  <sheetProtection password="C143" sheet="1" objects="1" scenarios="1" formatCells="0" formatColumns="0" formatRows="0" insertColumns="0" insertRows="0"/>
  <dataValidations count="1">
    <dataValidation type="list" allowBlank="1" showInputMessage="1" showErrorMessage="1" sqref="A3:A35">
      <formula1>"States"</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sheetPr codeName="Sheet6"/>
  <dimension ref="A1:N26"/>
  <sheetViews>
    <sheetView workbookViewId="0">
      <pane xSplit="2" ySplit="7" topLeftCell="C8" activePane="bottomRight" state="frozen"/>
      <selection pane="topRight" activeCell="C1" sqref="C1"/>
      <selection pane="bottomLeft" activeCell="A8" sqref="A8"/>
      <selection pane="bottomRight" activeCell="A17" sqref="A17:B22"/>
    </sheetView>
  </sheetViews>
  <sheetFormatPr defaultRowHeight="13.5"/>
  <cols>
    <col min="1" max="2" width="9.140625" style="2"/>
    <col min="3" max="3" width="13.7109375" style="2" bestFit="1" customWidth="1"/>
    <col min="4" max="5" width="12.5703125" style="2" bestFit="1" customWidth="1"/>
    <col min="6" max="6" width="11.5703125" style="2" bestFit="1" customWidth="1"/>
    <col min="7" max="7" width="13.7109375" style="2" bestFit="1" customWidth="1"/>
    <col min="8" max="8" width="12.5703125" style="2" bestFit="1" customWidth="1"/>
    <col min="9" max="9" width="12.28515625" style="2" customWidth="1"/>
    <col min="10" max="10" width="10.5703125" style="2" bestFit="1" customWidth="1"/>
    <col min="11" max="11" width="13" style="2" customWidth="1"/>
    <col min="12" max="12" width="10.42578125" style="2" customWidth="1"/>
    <col min="13" max="13" width="10.85546875" style="2" bestFit="1" customWidth="1"/>
    <col min="14" max="14" width="9.42578125" style="2" customWidth="1"/>
    <col min="15" max="16384" width="9.140625" style="2"/>
  </cols>
  <sheetData>
    <row r="1" spans="1:14" ht="15">
      <c r="A1" s="1042" t="str">
        <f>'Computation Sheet'!A1</f>
        <v>UNION BANK OF INDIA</v>
      </c>
      <c r="B1" s="1042"/>
      <c r="C1" s="1042"/>
      <c r="D1" s="1042"/>
      <c r="E1" s="1042"/>
      <c r="F1" s="1042"/>
      <c r="G1" s="1042"/>
      <c r="H1" s="1042"/>
      <c r="I1" s="1042"/>
      <c r="J1" s="1042"/>
      <c r="K1" s="1042"/>
      <c r="L1" s="1042"/>
      <c r="M1" s="1042"/>
      <c r="N1" s="1042"/>
    </row>
    <row r="2" spans="1:14" ht="15">
      <c r="A2" s="1042" t="s">
        <v>119</v>
      </c>
      <c r="B2" s="1042"/>
      <c r="C2" s="1042"/>
      <c r="D2" s="1042"/>
      <c r="E2" s="1042"/>
      <c r="F2" s="1042"/>
      <c r="G2" s="1042"/>
      <c r="H2" s="1042"/>
      <c r="I2" s="1042"/>
      <c r="J2" s="1042"/>
      <c r="K2" s="1042"/>
      <c r="L2" s="1042"/>
      <c r="M2" s="1042"/>
      <c r="N2" s="1042"/>
    </row>
    <row r="4" spans="1:14">
      <c r="A4" s="1043" t="s">
        <v>1</v>
      </c>
      <c r="B4" s="1043"/>
      <c r="C4" s="1162">
        <f>'Data Sheet'!F7</f>
        <v>0</v>
      </c>
      <c r="D4" s="1162"/>
      <c r="E4" s="1162"/>
      <c r="F4" s="1162"/>
      <c r="G4" s="1043" t="s">
        <v>120</v>
      </c>
      <c r="H4" s="1043"/>
      <c r="I4" s="1163">
        <f>'Data Sheet'!F8:I8</f>
        <v>0</v>
      </c>
      <c r="J4" s="1162"/>
      <c r="K4" s="1043" t="s">
        <v>121</v>
      </c>
      <c r="L4" s="1043"/>
      <c r="M4" s="1043" t="str">
        <f>'Data Sheet'!F24</f>
        <v>2020-2021</v>
      </c>
      <c r="N4" s="1043"/>
    </row>
    <row r="5" spans="1:14">
      <c r="G5" s="1161" t="s">
        <v>222</v>
      </c>
      <c r="H5" s="1161"/>
      <c r="I5" s="37">
        <f>'Data Sheet'!F31*100</f>
        <v>9</v>
      </c>
      <c r="J5" s="2" t="s">
        <v>221</v>
      </c>
      <c r="K5" s="1161" t="s">
        <v>122</v>
      </c>
      <c r="L5" s="1161"/>
      <c r="M5" s="1161" t="str">
        <f>'Data Sheet'!F30</f>
        <v>Yes</v>
      </c>
      <c r="N5" s="1161"/>
    </row>
    <row r="6" spans="1:14">
      <c r="A6" s="1159" t="s">
        <v>10</v>
      </c>
      <c r="B6" s="1159"/>
      <c r="C6" s="1159" t="s">
        <v>124</v>
      </c>
      <c r="D6" s="1159"/>
      <c r="E6" s="1159"/>
      <c r="F6" s="1159"/>
      <c r="G6" s="1159" t="s">
        <v>125</v>
      </c>
      <c r="H6" s="1159"/>
      <c r="I6" s="1159"/>
      <c r="J6" s="1159"/>
      <c r="K6" s="1159" t="s">
        <v>126</v>
      </c>
      <c r="L6" s="1159"/>
      <c r="M6" s="1159"/>
      <c r="N6" s="1159"/>
    </row>
    <row r="7" spans="1:14">
      <c r="A7" s="1159"/>
      <c r="B7" s="1159"/>
      <c r="C7" s="27" t="s">
        <v>127</v>
      </c>
      <c r="D7" s="27" t="str">
        <f>"Int @" &amp; 'Data Sheet'!F31*100 &amp;"%"</f>
        <v>Int @9%</v>
      </c>
      <c r="E7" s="39" t="s">
        <v>223</v>
      </c>
      <c r="F7" s="27" t="s">
        <v>129</v>
      </c>
      <c r="G7" s="27" t="s">
        <v>127</v>
      </c>
      <c r="H7" s="27" t="str">
        <f>"Int @" &amp; 'Data Sheet'!F31*100 &amp;"%"</f>
        <v>Int @9%</v>
      </c>
      <c r="I7" s="27" t="s">
        <v>224</v>
      </c>
      <c r="J7" s="27" t="s">
        <v>129</v>
      </c>
      <c r="K7" s="27" t="s">
        <v>220</v>
      </c>
      <c r="L7" s="27" t="str">
        <f>"Int @" &amp; 'Data Sheet'!F31*100 &amp;"%"</f>
        <v>Int @9%</v>
      </c>
      <c r="M7" s="40" t="s">
        <v>225</v>
      </c>
      <c r="N7" s="27" t="s">
        <v>129</v>
      </c>
    </row>
    <row r="8" spans="1:14">
      <c r="A8" s="1159" t="s">
        <v>130</v>
      </c>
      <c r="B8" s="1159"/>
      <c r="C8" s="41"/>
      <c r="D8" s="41"/>
      <c r="E8" s="41"/>
      <c r="F8" s="41"/>
      <c r="G8" s="41"/>
      <c r="H8" s="41"/>
      <c r="I8" s="41"/>
      <c r="J8" s="41"/>
      <c r="K8" s="41"/>
      <c r="L8" s="41"/>
      <c r="M8" s="41"/>
      <c r="N8" s="41"/>
    </row>
    <row r="9" spans="1:14">
      <c r="A9" s="1158">
        <f>'Earnings Sheet'!C5</f>
        <v>43922</v>
      </c>
      <c r="B9" s="1159"/>
      <c r="C9" s="41">
        <f>'Earnings Sheet'!R5</f>
        <v>0</v>
      </c>
      <c r="D9" s="41">
        <f>(C8)*I5/1200</f>
        <v>0</v>
      </c>
      <c r="E9" s="41">
        <f>(C8)*9.5/1200</f>
        <v>0</v>
      </c>
      <c r="F9" s="41">
        <f t="shared" ref="F9:F14" si="0">D9-E9</f>
        <v>0</v>
      </c>
      <c r="G9" s="41">
        <f>IF(M5="No",C9, IF(M5="Yes",0))</f>
        <v>0</v>
      </c>
      <c r="H9" s="41">
        <f>(G8)*I5/1200</f>
        <v>0</v>
      </c>
      <c r="I9" s="41">
        <f>(G8)*9.5/1200</f>
        <v>0</v>
      </c>
      <c r="J9" s="41">
        <f>F9</f>
        <v>0</v>
      </c>
      <c r="K9" s="42">
        <f>'Earnings Sheet'!S5</f>
        <v>0</v>
      </c>
      <c r="L9" s="41">
        <f>K8*I5/1200</f>
        <v>0</v>
      </c>
      <c r="M9" s="41">
        <f>K8*9.5/1200</f>
        <v>0</v>
      </c>
      <c r="N9" s="41">
        <f t="shared" ref="N9:N14" si="1">L9-M9</f>
        <v>0</v>
      </c>
    </row>
    <row r="10" spans="1:14">
      <c r="A10" s="1158">
        <f>'Earnings Sheet'!C6</f>
        <v>43952</v>
      </c>
      <c r="B10" s="1159"/>
      <c r="C10" s="41">
        <f>'Earnings Sheet'!R6</f>
        <v>0</v>
      </c>
      <c r="D10" s="41">
        <f>(C8+C9)*I5/1200</f>
        <v>0</v>
      </c>
      <c r="E10" s="41">
        <f>(C8+C9)*9.5/1200</f>
        <v>0</v>
      </c>
      <c r="F10" s="41">
        <f t="shared" si="0"/>
        <v>0</v>
      </c>
      <c r="G10" s="41">
        <f>IF(M5="No",C10, IF(M5="Yes",0))</f>
        <v>0</v>
      </c>
      <c r="H10" s="41">
        <f>(G8+G9)*I5/1200</f>
        <v>0</v>
      </c>
      <c r="I10" s="41">
        <f>(G8+G9)*9.5/1200</f>
        <v>0</v>
      </c>
      <c r="J10" s="41">
        <f>H10-I10</f>
        <v>0</v>
      </c>
      <c r="K10" s="42">
        <f>'Earnings Sheet'!S6</f>
        <v>0</v>
      </c>
      <c r="L10" s="41">
        <f>(K8+K9)*I5/1200</f>
        <v>0</v>
      </c>
      <c r="M10" s="41">
        <f>(K8+K9)*9.5/1200</f>
        <v>0</v>
      </c>
      <c r="N10" s="41">
        <f t="shared" si="1"/>
        <v>0</v>
      </c>
    </row>
    <row r="11" spans="1:14">
      <c r="A11" s="1158">
        <f>'Earnings Sheet'!C7</f>
        <v>43983</v>
      </c>
      <c r="B11" s="1159"/>
      <c r="C11" s="41">
        <f>'Earnings Sheet'!R7</f>
        <v>0</v>
      </c>
      <c r="D11" s="41">
        <f>(C8+C9+C10)*I5/1200</f>
        <v>0</v>
      </c>
      <c r="E11" s="41">
        <f>(C8+C9+C10)*9.5/1200</f>
        <v>0</v>
      </c>
      <c r="F11" s="41">
        <f t="shared" si="0"/>
        <v>0</v>
      </c>
      <c r="G11" s="41">
        <f>IF(M5="No",C11, IF(M5="Yes",0))</f>
        <v>0</v>
      </c>
      <c r="H11" s="41">
        <f>(G8+G9+G10)*I5/1200</f>
        <v>0</v>
      </c>
      <c r="I11" s="41">
        <f>(G8+G9+G10)*9.5/1200</f>
        <v>0</v>
      </c>
      <c r="J11" s="41">
        <f>H11-I11</f>
        <v>0</v>
      </c>
      <c r="K11" s="42">
        <f>'Earnings Sheet'!S7</f>
        <v>0</v>
      </c>
      <c r="L11" s="41">
        <f>(K8+K9+K10)*I5/1200</f>
        <v>0</v>
      </c>
      <c r="M11" s="41">
        <f>(K8+K9+K10)*9.5/1200</f>
        <v>0</v>
      </c>
      <c r="N11" s="41">
        <f t="shared" si="1"/>
        <v>0</v>
      </c>
    </row>
    <row r="12" spans="1:14">
      <c r="A12" s="1158">
        <f>'Earnings Sheet'!C8</f>
        <v>44013</v>
      </c>
      <c r="B12" s="1159"/>
      <c r="C12" s="41">
        <f>'Earnings Sheet'!R8</f>
        <v>0</v>
      </c>
      <c r="D12" s="41">
        <f>(C8+C9+C10+C11)*I5/1200</f>
        <v>0</v>
      </c>
      <c r="E12" s="41">
        <f>(C8+C9+C10+C11)*9.5/1200</f>
        <v>0</v>
      </c>
      <c r="F12" s="41">
        <f t="shared" si="0"/>
        <v>0</v>
      </c>
      <c r="G12" s="41">
        <f>IF(M5="No",C12, IF(M5="Yes",0))</f>
        <v>0</v>
      </c>
      <c r="H12" s="41">
        <f>(G8+G9+G10+G11)*I5/1200</f>
        <v>0</v>
      </c>
      <c r="I12" s="41">
        <f>(G8+G9+G10+G11)*9.5/1200</f>
        <v>0</v>
      </c>
      <c r="J12" s="41">
        <f>H12-I12</f>
        <v>0</v>
      </c>
      <c r="K12" s="42">
        <f>'Earnings Sheet'!S8</f>
        <v>0</v>
      </c>
      <c r="L12" s="41">
        <f>(K8+K9+K10+K11)*I5/1200</f>
        <v>0</v>
      </c>
      <c r="M12" s="41">
        <f>(K8+K9+K10+K11)*9.5/1200</f>
        <v>0</v>
      </c>
      <c r="N12" s="41">
        <f t="shared" si="1"/>
        <v>0</v>
      </c>
    </row>
    <row r="13" spans="1:14">
      <c r="A13" s="1158">
        <f>'Earnings Sheet'!C9</f>
        <v>44044</v>
      </c>
      <c r="B13" s="1159"/>
      <c r="C13" s="41">
        <f>'Earnings Sheet'!R9</f>
        <v>0</v>
      </c>
      <c r="D13" s="41">
        <f>(C8+C9+C10+C11+C12)*I5/1200</f>
        <v>0</v>
      </c>
      <c r="E13" s="41">
        <f>(C8+C9+C10+C11+C12)*9.5/1200</f>
        <v>0</v>
      </c>
      <c r="F13" s="41">
        <f t="shared" si="0"/>
        <v>0</v>
      </c>
      <c r="G13" s="41">
        <f>IF(M5="No",C13, IF(M5="Yes",0))</f>
        <v>0</v>
      </c>
      <c r="H13" s="41">
        <f>(G8+G9+G10+G11+G12)*I5/1200</f>
        <v>0</v>
      </c>
      <c r="I13" s="41">
        <f>(G8+G9+G10+G11+G12)*9.5/1200</f>
        <v>0</v>
      </c>
      <c r="J13" s="41">
        <f>H13-I13</f>
        <v>0</v>
      </c>
      <c r="K13" s="42">
        <f>'Earnings Sheet'!S9</f>
        <v>0</v>
      </c>
      <c r="L13" s="41">
        <f>(K8+K9+K10+K11+K12)*I5/1200</f>
        <v>0</v>
      </c>
      <c r="M13" s="41">
        <f>(K8+K9+K10+K11+K12)*9.5/1200</f>
        <v>0</v>
      </c>
      <c r="N13" s="41">
        <f t="shared" si="1"/>
        <v>0</v>
      </c>
    </row>
    <row r="14" spans="1:14">
      <c r="A14" s="1158">
        <f>'Earnings Sheet'!C10</f>
        <v>44075</v>
      </c>
      <c r="B14" s="1159"/>
      <c r="C14" s="41">
        <f>'Earnings Sheet'!R10</f>
        <v>0</v>
      </c>
      <c r="D14" s="41">
        <f>(C8+C9+C10+C11+C12+C13)*I5/1200</f>
        <v>0</v>
      </c>
      <c r="E14" s="41">
        <f>(C8+C9+C10+C11+C12+C13)*9.5/1200</f>
        <v>0</v>
      </c>
      <c r="F14" s="41">
        <f t="shared" si="0"/>
        <v>0</v>
      </c>
      <c r="G14" s="41">
        <f>IF(M5="No",C14, IF(M5="Yes",0))</f>
        <v>0</v>
      </c>
      <c r="H14" s="41">
        <f>(G8+G9+G10+G11+G12+G13)*I5/1200</f>
        <v>0</v>
      </c>
      <c r="I14" s="41">
        <f>(G8+G9+G10+G11+G12+G13)*9.5/1200</f>
        <v>0</v>
      </c>
      <c r="J14" s="41">
        <f>H14-I14</f>
        <v>0</v>
      </c>
      <c r="K14" s="42">
        <f>'Earnings Sheet'!S10</f>
        <v>0</v>
      </c>
      <c r="L14" s="41">
        <f>(K8+K9+K10+K11+K12+K13)*I5/1200</f>
        <v>0</v>
      </c>
      <c r="M14" s="41">
        <f>(K8+K9+K10+K11+K12+K13)*9.5/1200</f>
        <v>0</v>
      </c>
      <c r="N14" s="41">
        <f t="shared" si="1"/>
        <v>0</v>
      </c>
    </row>
    <row r="15" spans="1:14" s="45" customFormat="1" ht="15.75" thickBot="1">
      <c r="A15" s="1160" t="s">
        <v>131</v>
      </c>
      <c r="B15" s="1160"/>
      <c r="C15" s="43">
        <f>SUM(C8:C14)</f>
        <v>0</v>
      </c>
      <c r="D15" s="43">
        <f t="shared" ref="D15:J15" si="2">SUM(D9:D14)</f>
        <v>0</v>
      </c>
      <c r="E15" s="43">
        <f t="shared" si="2"/>
        <v>0</v>
      </c>
      <c r="F15" s="43">
        <f t="shared" si="2"/>
        <v>0</v>
      </c>
      <c r="G15" s="43">
        <f t="shared" si="2"/>
        <v>0</v>
      </c>
      <c r="H15" s="43">
        <f t="shared" si="2"/>
        <v>0</v>
      </c>
      <c r="I15" s="43">
        <f t="shared" si="2"/>
        <v>0</v>
      </c>
      <c r="J15" s="43">
        <f t="shared" si="2"/>
        <v>0</v>
      </c>
      <c r="K15" s="44">
        <f>SUM(K8:K14)</f>
        <v>0</v>
      </c>
      <c r="L15" s="43">
        <f>SUM(L9:L14)</f>
        <v>0</v>
      </c>
      <c r="M15" s="43">
        <f>SUM(M9:M14)</f>
        <v>0</v>
      </c>
      <c r="N15" s="44">
        <f>SUM(N9:N14)</f>
        <v>0</v>
      </c>
    </row>
    <row r="16" spans="1:14" ht="14.25" thickTop="1">
      <c r="A16" s="1159"/>
      <c r="B16" s="1159"/>
      <c r="C16" s="27" t="s">
        <v>127</v>
      </c>
      <c r="D16" s="46" t="s">
        <v>464</v>
      </c>
      <c r="E16" s="27" t="s">
        <v>128</v>
      </c>
      <c r="F16" s="27" t="s">
        <v>129</v>
      </c>
      <c r="G16" s="27" t="s">
        <v>127</v>
      </c>
      <c r="H16" s="38" t="str">
        <f>"Int @" &amp; 'Data Sheet'!F31*100 &amp;"%"</f>
        <v>Int @9%</v>
      </c>
      <c r="I16" s="38" t="s">
        <v>128</v>
      </c>
      <c r="J16" s="27" t="s">
        <v>129</v>
      </c>
      <c r="K16" s="47" t="s">
        <v>127</v>
      </c>
      <c r="L16" s="27" t="str">
        <f>"Int @" &amp; 'Data Sheet'!F31*100 &amp;"%"</f>
        <v>Int @9%</v>
      </c>
      <c r="M16" s="27" t="s">
        <v>128</v>
      </c>
      <c r="N16" s="27" t="s">
        <v>129</v>
      </c>
    </row>
    <row r="17" spans="1:14">
      <c r="A17" s="1158">
        <f>'Earnings Sheet'!C11</f>
        <v>44105</v>
      </c>
      <c r="B17" s="1159"/>
      <c r="C17" s="41">
        <f>'Earnings Sheet'!R11</f>
        <v>0</v>
      </c>
      <c r="D17" s="41">
        <f>(C15)*I5/1200</f>
        <v>0</v>
      </c>
      <c r="E17" s="41">
        <f>C15*9.5/1200</f>
        <v>0</v>
      </c>
      <c r="F17" s="41">
        <f t="shared" ref="F17:F22" si="3">D17-E17</f>
        <v>0</v>
      </c>
      <c r="G17" s="41">
        <f>IF(M5="No",C17, IF(M5="Yes",0))</f>
        <v>0</v>
      </c>
      <c r="H17" s="41">
        <f>(G15)*I5/1200</f>
        <v>0</v>
      </c>
      <c r="I17" s="41">
        <f>(G15)*9.5/1200</f>
        <v>0</v>
      </c>
      <c r="J17" s="41">
        <f t="shared" ref="J17:J23" si="4">H17-I17</f>
        <v>0</v>
      </c>
      <c r="K17" s="42">
        <f>'Earnings Sheet'!S11</f>
        <v>0</v>
      </c>
      <c r="L17" s="41">
        <f>(K15)*I5/1200</f>
        <v>0</v>
      </c>
      <c r="M17" s="41">
        <f>(K15)*9.5/1200</f>
        <v>0</v>
      </c>
      <c r="N17" s="41">
        <f t="shared" ref="N17:N23" si="5">L17-M17</f>
        <v>0</v>
      </c>
    </row>
    <row r="18" spans="1:14">
      <c r="A18" s="1158">
        <f>'Earnings Sheet'!C12</f>
        <v>44136</v>
      </c>
      <c r="B18" s="1159"/>
      <c r="C18" s="41">
        <f>'Earnings Sheet'!R12</f>
        <v>0</v>
      </c>
      <c r="D18" s="41">
        <f>(C15+C17)*I5/1200</f>
        <v>0</v>
      </c>
      <c r="E18" s="41">
        <f>(C15+C17)*9.5/1200</f>
        <v>0</v>
      </c>
      <c r="F18" s="41">
        <f t="shared" si="3"/>
        <v>0</v>
      </c>
      <c r="G18" s="41">
        <f>IF(M5="No",C18, IF(M5="Yes",0))</f>
        <v>0</v>
      </c>
      <c r="H18" s="41">
        <f>(G15+G17)*I5/1200</f>
        <v>0</v>
      </c>
      <c r="I18" s="41">
        <f>(G15+G17)*9.5/1200</f>
        <v>0</v>
      </c>
      <c r="J18" s="41">
        <f t="shared" si="4"/>
        <v>0</v>
      </c>
      <c r="K18" s="42">
        <f>'Earnings Sheet'!S12</f>
        <v>0</v>
      </c>
      <c r="L18" s="41">
        <f>(K15+K17)*I5/1200</f>
        <v>0</v>
      </c>
      <c r="M18" s="41">
        <f>(K15+K17)*9.5/1200</f>
        <v>0</v>
      </c>
      <c r="N18" s="41">
        <f t="shared" si="5"/>
        <v>0</v>
      </c>
    </row>
    <row r="19" spans="1:14">
      <c r="A19" s="1158">
        <f>'Earnings Sheet'!C13</f>
        <v>44166</v>
      </c>
      <c r="B19" s="1159"/>
      <c r="C19" s="41">
        <f>'Earnings Sheet'!R13</f>
        <v>0</v>
      </c>
      <c r="D19" s="41">
        <f>(C15+C17+C18)*I5/1200</f>
        <v>0</v>
      </c>
      <c r="E19" s="41">
        <f>(C15+C17+C18)*9.5/1200</f>
        <v>0</v>
      </c>
      <c r="F19" s="41">
        <f t="shared" si="3"/>
        <v>0</v>
      </c>
      <c r="G19" s="41">
        <f>IF(M5="No",C19, IF(M5="Yes",0))</f>
        <v>0</v>
      </c>
      <c r="H19" s="41">
        <f>(G15+G17+G18)*I5/1200</f>
        <v>0</v>
      </c>
      <c r="I19" s="41">
        <f>(G15+G17+G18)*9.5/1200</f>
        <v>0</v>
      </c>
      <c r="J19" s="41">
        <f t="shared" si="4"/>
        <v>0</v>
      </c>
      <c r="K19" s="42">
        <f>'Earnings Sheet'!S13</f>
        <v>0</v>
      </c>
      <c r="L19" s="41">
        <f>(K15+K17+K18)*I5/1200</f>
        <v>0</v>
      </c>
      <c r="M19" s="41">
        <f>(K15+K17+K18)*9.5/1200</f>
        <v>0</v>
      </c>
      <c r="N19" s="41">
        <f t="shared" si="5"/>
        <v>0</v>
      </c>
    </row>
    <row r="20" spans="1:14">
      <c r="A20" s="1158">
        <f>'Earnings Sheet'!C14</f>
        <v>44197</v>
      </c>
      <c r="B20" s="1159"/>
      <c r="C20" s="41">
        <f>'Earnings Sheet'!R14</f>
        <v>0</v>
      </c>
      <c r="D20" s="41">
        <f>(C15+C17+C18+C19)*I5/1200</f>
        <v>0</v>
      </c>
      <c r="E20" s="41">
        <f>(C15+C17+C18+C19)*9.5/1200</f>
        <v>0</v>
      </c>
      <c r="F20" s="41">
        <f t="shared" si="3"/>
        <v>0</v>
      </c>
      <c r="G20" s="41">
        <f>IF(M5="No",C20, IF(M5="Yes",0))</f>
        <v>0</v>
      </c>
      <c r="H20" s="41">
        <f>(G15+G17+G18+G19)*I5/1200</f>
        <v>0</v>
      </c>
      <c r="I20" s="41">
        <f>(G15+G17+G18+G19)*9.5/1200</f>
        <v>0</v>
      </c>
      <c r="J20" s="41">
        <f t="shared" si="4"/>
        <v>0</v>
      </c>
      <c r="K20" s="42">
        <f>'Earnings Sheet'!S14</f>
        <v>0</v>
      </c>
      <c r="L20" s="41">
        <f>(K15+K17+K18+K19)*I5/1200</f>
        <v>0</v>
      </c>
      <c r="M20" s="41">
        <f>(K15+K17+K18+K19)*9.5/1200</f>
        <v>0</v>
      </c>
      <c r="N20" s="41">
        <f t="shared" si="5"/>
        <v>0</v>
      </c>
    </row>
    <row r="21" spans="1:14">
      <c r="A21" s="1158">
        <f>'Earnings Sheet'!C15</f>
        <v>44228</v>
      </c>
      <c r="B21" s="1159"/>
      <c r="C21" s="41">
        <f>'Earnings Sheet'!R15</f>
        <v>0</v>
      </c>
      <c r="D21" s="41">
        <f>(C15+C17+C18+C19+C20)*I5/1200</f>
        <v>0</v>
      </c>
      <c r="E21" s="41">
        <f>(C15+C17+C18+C19+C20)*9.5/1200</f>
        <v>0</v>
      </c>
      <c r="F21" s="41">
        <f t="shared" si="3"/>
        <v>0</v>
      </c>
      <c r="G21" s="41">
        <f>IF(M5="No",C21, IF(M5="Yes",0))</f>
        <v>0</v>
      </c>
      <c r="H21" s="41">
        <f>(G15+G17+G18+G19+G20)*I5/1200</f>
        <v>0</v>
      </c>
      <c r="I21" s="41">
        <f>(G15+G17+G18+G19+G20)*9.5/1200</f>
        <v>0</v>
      </c>
      <c r="J21" s="41">
        <f t="shared" si="4"/>
        <v>0</v>
      </c>
      <c r="K21" s="42">
        <f>'Earnings Sheet'!S15</f>
        <v>0</v>
      </c>
      <c r="L21" s="41">
        <f>(K15+K17+K18+K19+K20)*I5/1200</f>
        <v>0</v>
      </c>
      <c r="M21" s="41">
        <f>(K15+K17+K18+K19+K20)*9.5/1200</f>
        <v>0</v>
      </c>
      <c r="N21" s="41">
        <f t="shared" si="5"/>
        <v>0</v>
      </c>
    </row>
    <row r="22" spans="1:14">
      <c r="A22" s="1158">
        <f>'Earnings Sheet'!C16</f>
        <v>44256</v>
      </c>
      <c r="B22" s="1159"/>
      <c r="C22" s="41">
        <f>'Earnings Sheet'!R16</f>
        <v>0</v>
      </c>
      <c r="D22" s="41">
        <f>(C15+C17+C18+C19+C20+C21)*I5/1200</f>
        <v>0</v>
      </c>
      <c r="E22" s="41">
        <f>(C15+C17+C18+C19+C20+C21)*9.5/1200</f>
        <v>0</v>
      </c>
      <c r="F22" s="41">
        <f t="shared" si="3"/>
        <v>0</v>
      </c>
      <c r="G22" s="41">
        <f>IF(M5="No",C22, IF(M5="Yes",0))</f>
        <v>0</v>
      </c>
      <c r="H22" s="41">
        <f>(G15+G17+G18+G19+G20+G21)*I5/1200</f>
        <v>0</v>
      </c>
      <c r="I22" s="41">
        <f>(G15+G17+G18+G19+G20+G21)*9.5/1200</f>
        <v>0</v>
      </c>
      <c r="J22" s="41">
        <f t="shared" si="4"/>
        <v>0</v>
      </c>
      <c r="K22" s="42">
        <f>'Earnings Sheet'!S16</f>
        <v>0</v>
      </c>
      <c r="L22" s="41">
        <f>(K15+K17+K18+K19+K20+K21)*I5/1200</f>
        <v>0</v>
      </c>
      <c r="M22" s="41">
        <f>(K15+K17+K18+K19+K20+K21)*9.5/1200</f>
        <v>0</v>
      </c>
      <c r="N22" s="41">
        <f t="shared" si="5"/>
        <v>0</v>
      </c>
    </row>
    <row r="23" spans="1:14" s="49" customFormat="1" ht="15">
      <c r="A23" s="1160" t="s">
        <v>131</v>
      </c>
      <c r="B23" s="1160"/>
      <c r="C23" s="48">
        <f>SUM(C17:C22)</f>
        <v>0</v>
      </c>
      <c r="D23" s="48">
        <f>SUM(D17:D22)</f>
        <v>0</v>
      </c>
      <c r="E23" s="48">
        <f>SUM(E17:E22)</f>
        <v>0</v>
      </c>
      <c r="F23" s="48">
        <f>SUM(F17:F22)</f>
        <v>0</v>
      </c>
      <c r="G23" s="41">
        <f>IF(M5="No",C23, IF(M5="Yes",0))</f>
        <v>0</v>
      </c>
      <c r="H23" s="41">
        <f>(G15+G17+G18+G19+G20+G21+G22)*I5/1200</f>
        <v>0</v>
      </c>
      <c r="I23" s="41">
        <f>(G15+G17+G18+G19+G20+G21+G22)*9.5/1200</f>
        <v>0</v>
      </c>
      <c r="J23" s="41">
        <f t="shared" si="4"/>
        <v>0</v>
      </c>
      <c r="K23" s="42">
        <f>'Earnings Sheet'!S18</f>
        <v>0</v>
      </c>
      <c r="L23" s="41">
        <f>(K15+K17+K18+K19+K20+K21+K22)*I5/1200</f>
        <v>0</v>
      </c>
      <c r="M23" s="41">
        <f>(K15+K17+K18+K19+K20+K21+K22)*9.5/1200</f>
        <v>0</v>
      </c>
      <c r="N23" s="41">
        <f t="shared" si="5"/>
        <v>0</v>
      </c>
    </row>
    <row r="24" spans="1:14" s="5" customFormat="1" ht="15">
      <c r="A24" s="1114" t="s">
        <v>26</v>
      </c>
      <c r="B24" s="1114"/>
      <c r="C24" s="50">
        <f t="shared" ref="C24:N24" si="6">C15+C23</f>
        <v>0</v>
      </c>
      <c r="D24" s="51">
        <f t="shared" si="6"/>
        <v>0</v>
      </c>
      <c r="E24" s="51">
        <f t="shared" si="6"/>
        <v>0</v>
      </c>
      <c r="F24" s="51">
        <f t="shared" si="6"/>
        <v>0</v>
      </c>
      <c r="G24" s="50">
        <f t="shared" si="6"/>
        <v>0</v>
      </c>
      <c r="H24" s="51">
        <f t="shared" si="6"/>
        <v>0</v>
      </c>
      <c r="I24" s="51">
        <f t="shared" si="6"/>
        <v>0</v>
      </c>
      <c r="J24" s="51">
        <f t="shared" si="6"/>
        <v>0</v>
      </c>
      <c r="K24" s="52">
        <f t="shared" si="6"/>
        <v>0</v>
      </c>
      <c r="L24" s="52">
        <f t="shared" si="6"/>
        <v>0</v>
      </c>
      <c r="M24" s="52">
        <f t="shared" si="6"/>
        <v>0</v>
      </c>
      <c r="N24" s="53">
        <f t="shared" si="6"/>
        <v>0</v>
      </c>
    </row>
    <row r="25" spans="1:14">
      <c r="A25" s="27"/>
      <c r="B25" s="27"/>
      <c r="C25" s="41"/>
      <c r="D25" s="41"/>
      <c r="E25" s="41"/>
      <c r="F25" s="41"/>
      <c r="G25" s="41"/>
      <c r="H25" s="41"/>
      <c r="I25" s="41"/>
      <c r="J25" s="41"/>
      <c r="K25" s="41"/>
      <c r="L25" s="41"/>
      <c r="M25" s="41"/>
      <c r="N25" s="41"/>
    </row>
    <row r="26" spans="1:14" ht="15">
      <c r="A26" s="1042" t="s">
        <v>132</v>
      </c>
      <c r="B26" s="1042"/>
      <c r="C26" s="1042"/>
      <c r="D26" s="1042"/>
      <c r="E26" s="54">
        <f>IF((F24+J24+N24)&lt;=0,0,IF((F24+J24+N24)&gt;0,(F24+J24+N24)))</f>
        <v>0</v>
      </c>
    </row>
  </sheetData>
  <sheetProtection password="F7B1" sheet="1"/>
  <customSheetViews>
    <customSheetView guid="{BC7AD179-3218-4244-A3F6-4056F6A573C9}">
      <pane xSplit="2" ySplit="7" topLeftCell="C8" activePane="bottomRight" state="frozen"/>
      <selection pane="bottomRight" activeCell="A17" sqref="A17:B22"/>
      <pageMargins left="0.75" right="0.75" top="1" bottom="1" header="0.5" footer="0.5"/>
      <pageSetup paperSize="5" orientation="landscape" r:id="rId1"/>
      <headerFooter alignWithMargins="0"/>
    </customSheetView>
  </customSheetViews>
  <mergeCells count="33">
    <mergeCell ref="A1:N1"/>
    <mergeCell ref="A2:N2"/>
    <mergeCell ref="A4:B4"/>
    <mergeCell ref="C4:F4"/>
    <mergeCell ref="G4:H4"/>
    <mergeCell ref="I4:J4"/>
    <mergeCell ref="K4:L4"/>
    <mergeCell ref="M4:N4"/>
    <mergeCell ref="M5:N5"/>
    <mergeCell ref="A6:B7"/>
    <mergeCell ref="C6:F6"/>
    <mergeCell ref="G6:J6"/>
    <mergeCell ref="K6:N6"/>
    <mergeCell ref="G5:H5"/>
    <mergeCell ref="A13:B13"/>
    <mergeCell ref="A14:B14"/>
    <mergeCell ref="A15:B15"/>
    <mergeCell ref="A16:B16"/>
    <mergeCell ref="K5:L5"/>
    <mergeCell ref="A8:B8"/>
    <mergeCell ref="A9:B9"/>
    <mergeCell ref="A10:B10"/>
    <mergeCell ref="A11:B11"/>
    <mergeCell ref="A12:B12"/>
    <mergeCell ref="A17:B17"/>
    <mergeCell ref="A18:B18"/>
    <mergeCell ref="A24:B24"/>
    <mergeCell ref="A26:D26"/>
    <mergeCell ref="A20:B20"/>
    <mergeCell ref="A21:B21"/>
    <mergeCell ref="A22:B22"/>
    <mergeCell ref="A23:B23"/>
    <mergeCell ref="A19:B19"/>
  </mergeCells>
  <phoneticPr fontId="0" type="noConversion"/>
  <pageMargins left="0.75" right="0.75" top="1" bottom="1" header="0.5" footer="0.5"/>
  <pageSetup paperSize="5" orientation="landscape" r:id="rId2"/>
  <headerFooter alignWithMargins="0"/>
</worksheet>
</file>

<file path=xl/worksheets/sheet19.xml><?xml version="1.0" encoding="utf-8"?>
<worksheet xmlns="http://schemas.openxmlformats.org/spreadsheetml/2006/main" xmlns:r="http://schemas.openxmlformats.org/officeDocument/2006/relationships">
  <sheetPr codeName="Sheet19"/>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7" enableFormatConditionsCalculation="0">
    <tabColor indexed="11"/>
  </sheetPr>
  <dimension ref="A1:K128"/>
  <sheetViews>
    <sheetView zoomScaleSheetLayoutView="100" workbookViewId="0">
      <selection activeCell="K58" sqref="K58:K95"/>
    </sheetView>
  </sheetViews>
  <sheetFormatPr defaultRowHeight="15.95" customHeight="1"/>
  <cols>
    <col min="1" max="1" width="4.42578125" style="55" customWidth="1"/>
    <col min="2" max="10" width="9.140625" style="55"/>
    <col min="11" max="11" width="4.28515625" style="55" customWidth="1"/>
    <col min="12" max="16384" width="9.140625" style="55"/>
  </cols>
  <sheetData>
    <row r="1" spans="1:11" ht="15.95" customHeight="1">
      <c r="A1" s="352"/>
      <c r="B1" s="352"/>
      <c r="C1" s="352"/>
      <c r="D1" s="352"/>
      <c r="E1" s="352"/>
      <c r="F1" s="352"/>
      <c r="G1" s="352"/>
      <c r="H1" s="352"/>
      <c r="I1" s="352"/>
      <c r="J1" s="352"/>
      <c r="K1" s="352"/>
    </row>
    <row r="2" spans="1:11" ht="15.95" customHeight="1">
      <c r="A2" s="352"/>
      <c r="B2" s="357" t="s">
        <v>358</v>
      </c>
      <c r="C2" s="358"/>
      <c r="D2" s="358"/>
      <c r="E2" s="358"/>
      <c r="F2" s="358"/>
      <c r="G2" s="358"/>
      <c r="H2" s="358"/>
      <c r="I2" s="358"/>
      <c r="J2" s="358"/>
      <c r="K2" s="352"/>
    </row>
    <row r="3" spans="1:11" ht="15.95" customHeight="1">
      <c r="A3" s="352"/>
      <c r="B3" s="361" t="s">
        <v>1123</v>
      </c>
      <c r="C3" s="361"/>
      <c r="D3" s="361"/>
      <c r="E3" s="361"/>
      <c r="F3" s="361"/>
      <c r="G3" s="361"/>
      <c r="H3" s="361"/>
      <c r="I3" s="361"/>
      <c r="J3" s="361"/>
      <c r="K3" s="352"/>
    </row>
    <row r="4" spans="1:11" ht="15.95" customHeight="1">
      <c r="A4" s="352"/>
      <c r="B4" s="362" t="s">
        <v>1122</v>
      </c>
      <c r="C4" s="362"/>
      <c r="D4" s="362"/>
      <c r="E4" s="362"/>
      <c r="F4" s="362"/>
      <c r="G4" s="362"/>
      <c r="H4" s="362"/>
      <c r="I4" s="362"/>
      <c r="J4" s="362"/>
      <c r="K4" s="352"/>
    </row>
    <row r="5" spans="1:11" ht="15.95" customHeight="1">
      <c r="A5" s="352"/>
      <c r="B5" s="363" t="s">
        <v>398</v>
      </c>
      <c r="C5" s="363"/>
      <c r="D5" s="363"/>
      <c r="E5" s="363"/>
      <c r="F5" s="363"/>
      <c r="G5" s="363"/>
      <c r="H5" s="363"/>
      <c r="I5" s="363"/>
      <c r="J5" s="363"/>
      <c r="K5" s="352"/>
    </row>
    <row r="6" spans="1:11" ht="15.95" customHeight="1">
      <c r="A6" s="352"/>
      <c r="B6" s="364" t="s">
        <v>359</v>
      </c>
      <c r="C6" s="364"/>
      <c r="D6" s="364"/>
      <c r="E6" s="364"/>
      <c r="F6" s="364"/>
      <c r="G6" s="364"/>
      <c r="H6" s="364"/>
      <c r="I6" s="364"/>
      <c r="J6" s="364"/>
      <c r="K6" s="352"/>
    </row>
    <row r="7" spans="1:11" ht="15.95" customHeight="1">
      <c r="A7" s="352"/>
      <c r="B7" s="365" t="s">
        <v>360</v>
      </c>
      <c r="C7" s="365"/>
      <c r="D7" s="365"/>
      <c r="E7" s="365"/>
      <c r="F7" s="365"/>
      <c r="G7" s="365"/>
      <c r="H7" s="365"/>
      <c r="I7" s="365"/>
      <c r="J7" s="365"/>
      <c r="K7" s="352"/>
    </row>
    <row r="8" spans="1:11" ht="15.95" customHeight="1">
      <c r="A8" s="352"/>
      <c r="B8" s="366" t="s">
        <v>1124</v>
      </c>
      <c r="C8" s="367"/>
      <c r="D8" s="367"/>
      <c r="E8" s="367"/>
      <c r="F8" s="367"/>
      <c r="G8" s="367"/>
      <c r="H8" s="367"/>
      <c r="I8" s="367"/>
      <c r="J8" s="367"/>
      <c r="K8" s="352"/>
    </row>
    <row r="9" spans="1:11" ht="15.95" customHeight="1">
      <c r="A9" s="352"/>
      <c r="B9" s="367" t="s">
        <v>361</v>
      </c>
      <c r="C9" s="367"/>
      <c r="D9" s="367"/>
      <c r="E9" s="367"/>
      <c r="F9" s="367"/>
      <c r="G9" s="367"/>
      <c r="H9" s="367"/>
      <c r="I9" s="367"/>
      <c r="J9" s="367"/>
      <c r="K9" s="352"/>
    </row>
    <row r="10" spans="1:11" ht="29.25" customHeight="1">
      <c r="A10" s="352"/>
      <c r="B10" s="368" t="s">
        <v>1138</v>
      </c>
      <c r="C10" s="369"/>
      <c r="D10" s="369"/>
      <c r="E10" s="369"/>
      <c r="F10" s="369"/>
      <c r="G10" s="369"/>
      <c r="H10" s="369"/>
      <c r="I10" s="369"/>
      <c r="J10" s="369"/>
      <c r="K10" s="352"/>
    </row>
    <row r="11" spans="1:11" ht="9.75" customHeight="1">
      <c r="A11" s="352"/>
      <c r="B11" s="367"/>
      <c r="C11" s="367"/>
      <c r="D11" s="367"/>
      <c r="E11" s="367"/>
      <c r="F11" s="367"/>
      <c r="G11" s="367"/>
      <c r="H11" s="367"/>
      <c r="I11" s="367"/>
      <c r="J11" s="367"/>
      <c r="K11" s="352"/>
    </row>
    <row r="12" spans="1:11" ht="15.95" customHeight="1">
      <c r="A12" s="352"/>
      <c r="B12" s="365" t="s">
        <v>362</v>
      </c>
      <c r="C12" s="365"/>
      <c r="D12" s="365"/>
      <c r="E12" s="365"/>
      <c r="F12" s="365"/>
      <c r="G12" s="365"/>
      <c r="H12" s="365"/>
      <c r="I12" s="365"/>
      <c r="J12" s="365"/>
      <c r="K12" s="352"/>
    </row>
    <row r="13" spans="1:11" ht="15.95" customHeight="1">
      <c r="A13" s="352"/>
      <c r="B13" s="370" t="s">
        <v>1051</v>
      </c>
      <c r="C13" s="370"/>
      <c r="D13" s="370"/>
      <c r="E13" s="370"/>
      <c r="F13" s="370"/>
      <c r="G13" s="370"/>
      <c r="H13" s="370"/>
      <c r="I13" s="370"/>
      <c r="J13" s="370"/>
      <c r="K13" s="352"/>
    </row>
    <row r="14" spans="1:11" ht="15.95" customHeight="1">
      <c r="A14" s="352"/>
      <c r="B14" s="350" t="s">
        <v>363</v>
      </c>
      <c r="C14" s="350"/>
      <c r="D14" s="350"/>
      <c r="E14" s="350"/>
      <c r="F14" s="350"/>
      <c r="G14" s="350"/>
      <c r="H14" s="350"/>
      <c r="I14" s="350"/>
      <c r="J14" s="350"/>
      <c r="K14" s="352"/>
    </row>
    <row r="15" spans="1:11" ht="15.95" customHeight="1">
      <c r="A15" s="352"/>
      <c r="B15" s="350" t="s">
        <v>364</v>
      </c>
      <c r="C15" s="350"/>
      <c r="D15" s="350"/>
      <c r="E15" s="350"/>
      <c r="F15" s="350"/>
      <c r="G15" s="350"/>
      <c r="H15" s="350"/>
      <c r="I15" s="350"/>
      <c r="J15" s="350"/>
      <c r="K15" s="352"/>
    </row>
    <row r="16" spans="1:11" ht="15.95" customHeight="1">
      <c r="A16" s="352"/>
      <c r="B16" s="350" t="s">
        <v>365</v>
      </c>
      <c r="C16" s="350"/>
      <c r="D16" s="350"/>
      <c r="E16" s="350"/>
      <c r="F16" s="350"/>
      <c r="G16" s="350"/>
      <c r="H16" s="350"/>
      <c r="I16" s="350"/>
      <c r="J16" s="350"/>
      <c r="K16" s="352"/>
    </row>
    <row r="17" spans="1:11" ht="15.95" customHeight="1">
      <c r="A17" s="352"/>
      <c r="B17" s="350"/>
      <c r="C17" s="350"/>
      <c r="D17" s="350"/>
      <c r="E17" s="350"/>
      <c r="F17" s="350"/>
      <c r="G17" s="350"/>
      <c r="H17" s="350"/>
      <c r="I17" s="350"/>
      <c r="J17" s="350"/>
      <c r="K17" s="352"/>
    </row>
    <row r="18" spans="1:11" ht="15.95" customHeight="1">
      <c r="A18" s="352"/>
      <c r="B18" s="371" t="s">
        <v>366</v>
      </c>
      <c r="C18" s="371"/>
      <c r="D18" s="371"/>
      <c r="E18" s="371"/>
      <c r="F18" s="371"/>
      <c r="G18" s="371"/>
      <c r="H18" s="371"/>
      <c r="I18" s="371"/>
      <c r="J18" s="371"/>
      <c r="K18" s="352"/>
    </row>
    <row r="19" spans="1:11" ht="15.95" customHeight="1">
      <c r="A19" s="352"/>
      <c r="B19" s="371" t="s">
        <v>367</v>
      </c>
      <c r="C19" s="371"/>
      <c r="D19" s="371"/>
      <c r="E19" s="371"/>
      <c r="F19" s="371"/>
      <c r="G19" s="371"/>
      <c r="H19" s="371"/>
      <c r="I19" s="371"/>
      <c r="J19" s="371"/>
      <c r="K19" s="352"/>
    </row>
    <row r="20" spans="1:11" ht="15.95" customHeight="1">
      <c r="A20" s="352"/>
      <c r="B20" s="350"/>
      <c r="C20" s="350"/>
      <c r="D20" s="350"/>
      <c r="E20" s="350"/>
      <c r="F20" s="350"/>
      <c r="G20" s="350"/>
      <c r="H20" s="350"/>
      <c r="I20" s="350"/>
      <c r="J20" s="350"/>
      <c r="K20" s="352"/>
    </row>
    <row r="21" spans="1:11" ht="15.95" customHeight="1">
      <c r="A21" s="352"/>
      <c r="B21" s="359" t="s">
        <v>368</v>
      </c>
      <c r="C21" s="360"/>
      <c r="D21" s="360"/>
      <c r="E21" s="360"/>
      <c r="F21" s="360"/>
      <c r="G21" s="360"/>
      <c r="H21" s="360"/>
      <c r="I21" s="360"/>
      <c r="J21" s="360"/>
      <c r="K21" s="352"/>
    </row>
    <row r="22" spans="1:11" ht="15.95" customHeight="1">
      <c r="A22" s="352"/>
      <c r="B22" s="350" t="s">
        <v>371</v>
      </c>
      <c r="C22" s="350"/>
      <c r="D22" s="350"/>
      <c r="E22" s="350"/>
      <c r="F22" s="350"/>
      <c r="G22" s="350"/>
      <c r="H22" s="350"/>
      <c r="I22" s="350"/>
      <c r="J22" s="350"/>
      <c r="K22" s="352"/>
    </row>
    <row r="23" spans="1:11" ht="15.95" customHeight="1">
      <c r="A23" s="352"/>
      <c r="B23" s="350" t="s">
        <v>369</v>
      </c>
      <c r="C23" s="350"/>
      <c r="D23" s="350"/>
      <c r="E23" s="350"/>
      <c r="F23" s="350"/>
      <c r="G23" s="350"/>
      <c r="H23" s="350"/>
      <c r="I23" s="350"/>
      <c r="J23" s="350"/>
      <c r="K23" s="352"/>
    </row>
    <row r="24" spans="1:11" ht="15.95" customHeight="1">
      <c r="A24" s="352"/>
      <c r="B24" s="350"/>
      <c r="C24" s="350"/>
      <c r="D24" s="350"/>
      <c r="E24" s="350"/>
      <c r="F24" s="350"/>
      <c r="G24" s="350"/>
      <c r="H24" s="350"/>
      <c r="I24" s="350"/>
      <c r="J24" s="350"/>
      <c r="K24" s="352"/>
    </row>
    <row r="25" spans="1:11" ht="15.95" customHeight="1">
      <c r="A25" s="352"/>
      <c r="B25" s="350" t="s">
        <v>372</v>
      </c>
      <c r="C25" s="350"/>
      <c r="D25" s="350"/>
      <c r="E25" s="350"/>
      <c r="F25" s="350"/>
      <c r="G25" s="350"/>
      <c r="H25" s="350"/>
      <c r="I25" s="350"/>
      <c r="J25" s="350"/>
      <c r="K25" s="352"/>
    </row>
    <row r="26" spans="1:11" ht="15.95" customHeight="1">
      <c r="A26" s="352"/>
      <c r="B26" s="350" t="s">
        <v>370</v>
      </c>
      <c r="C26" s="350"/>
      <c r="D26" s="350"/>
      <c r="E26" s="350"/>
      <c r="F26" s="350"/>
      <c r="G26" s="350"/>
      <c r="H26" s="350"/>
      <c r="I26" s="350"/>
      <c r="J26" s="350"/>
      <c r="K26" s="352"/>
    </row>
    <row r="27" spans="1:11" ht="15.95" customHeight="1">
      <c r="A27" s="352"/>
      <c r="B27" s="350"/>
      <c r="C27" s="350"/>
      <c r="D27" s="350"/>
      <c r="E27" s="350"/>
      <c r="F27" s="350"/>
      <c r="G27" s="350"/>
      <c r="H27" s="350"/>
      <c r="I27" s="350"/>
      <c r="J27" s="350"/>
      <c r="K27" s="352"/>
    </row>
    <row r="28" spans="1:11" ht="15.95" customHeight="1">
      <c r="A28" s="352"/>
      <c r="B28" s="351" t="s">
        <v>918</v>
      </c>
      <c r="C28" s="350"/>
      <c r="D28" s="350"/>
      <c r="E28" s="350"/>
      <c r="F28" s="350"/>
      <c r="G28" s="350"/>
      <c r="H28" s="350"/>
      <c r="I28" s="350"/>
      <c r="J28" s="350"/>
      <c r="K28" s="352"/>
    </row>
    <row r="29" spans="1:11" ht="15.95" customHeight="1">
      <c r="A29" s="352"/>
      <c r="B29" s="350"/>
      <c r="C29" s="350"/>
      <c r="D29" s="350"/>
      <c r="E29" s="350"/>
      <c r="F29" s="350"/>
      <c r="G29" s="350"/>
      <c r="H29" s="350"/>
      <c r="I29" s="350"/>
      <c r="J29" s="350"/>
      <c r="K29" s="352"/>
    </row>
    <row r="30" spans="1:11" ht="15.95" customHeight="1">
      <c r="A30" s="352"/>
      <c r="B30" s="350" t="s">
        <v>374</v>
      </c>
      <c r="C30" s="350"/>
      <c r="D30" s="350"/>
      <c r="E30" s="350"/>
      <c r="F30" s="350"/>
      <c r="G30" s="350"/>
      <c r="H30" s="350"/>
      <c r="I30" s="350"/>
      <c r="J30" s="350"/>
      <c r="K30" s="352"/>
    </row>
    <row r="31" spans="1:11" ht="15.95" customHeight="1">
      <c r="A31" s="352"/>
      <c r="B31" s="350" t="s">
        <v>373</v>
      </c>
      <c r="C31" s="350"/>
      <c r="D31" s="350"/>
      <c r="E31" s="350"/>
      <c r="F31" s="350"/>
      <c r="G31" s="350"/>
      <c r="H31" s="350"/>
      <c r="I31" s="350"/>
      <c r="J31" s="350"/>
      <c r="K31" s="352"/>
    </row>
    <row r="32" spans="1:11" ht="15.95" customHeight="1">
      <c r="A32" s="352"/>
      <c r="B32" s="350"/>
      <c r="C32" s="350"/>
      <c r="D32" s="350"/>
      <c r="E32" s="350"/>
      <c r="F32" s="350"/>
      <c r="G32" s="350"/>
      <c r="H32" s="350"/>
      <c r="I32" s="350"/>
      <c r="J32" s="350"/>
      <c r="K32" s="352"/>
    </row>
    <row r="33" spans="1:11" ht="15.95" customHeight="1">
      <c r="A33" s="352"/>
      <c r="B33" s="350" t="s">
        <v>375</v>
      </c>
      <c r="C33" s="350"/>
      <c r="D33" s="350"/>
      <c r="E33" s="350"/>
      <c r="F33" s="350"/>
      <c r="G33" s="350"/>
      <c r="H33" s="350"/>
      <c r="I33" s="350"/>
      <c r="J33" s="350"/>
      <c r="K33" s="352"/>
    </row>
    <row r="34" spans="1:11" ht="15.95" customHeight="1">
      <c r="A34" s="352"/>
      <c r="B34" s="350"/>
      <c r="C34" s="350"/>
      <c r="D34" s="350"/>
      <c r="E34" s="350"/>
      <c r="F34" s="350"/>
      <c r="G34" s="350"/>
      <c r="H34" s="350"/>
      <c r="I34" s="350"/>
      <c r="J34" s="350"/>
      <c r="K34" s="352"/>
    </row>
    <row r="35" spans="1:11" ht="15.95" customHeight="1">
      <c r="A35" s="352"/>
      <c r="B35" s="350" t="s">
        <v>376</v>
      </c>
      <c r="C35" s="350"/>
      <c r="D35" s="350"/>
      <c r="E35" s="350"/>
      <c r="F35" s="350"/>
      <c r="G35" s="350"/>
      <c r="H35" s="350"/>
      <c r="I35" s="350"/>
      <c r="J35" s="350"/>
      <c r="K35" s="352"/>
    </row>
    <row r="36" spans="1:11" ht="15.95" customHeight="1">
      <c r="A36" s="352"/>
      <c r="B36" s="351" t="s">
        <v>1125</v>
      </c>
      <c r="C36" s="350"/>
      <c r="D36" s="350"/>
      <c r="E36" s="350"/>
      <c r="F36" s="350"/>
      <c r="G36" s="350"/>
      <c r="H36" s="350"/>
      <c r="I36" s="350"/>
      <c r="J36" s="350"/>
      <c r="K36" s="352"/>
    </row>
    <row r="37" spans="1:11" ht="15.95" customHeight="1">
      <c r="A37" s="352"/>
      <c r="B37" s="370" t="s">
        <v>1126</v>
      </c>
      <c r="C37" s="370"/>
      <c r="D37" s="370"/>
      <c r="E37" s="370"/>
      <c r="F37" s="370"/>
      <c r="G37" s="370"/>
      <c r="H37" s="370"/>
      <c r="I37" s="370"/>
      <c r="J37" s="370"/>
      <c r="K37" s="352"/>
    </row>
    <row r="38" spans="1:11" ht="15.95" customHeight="1">
      <c r="A38" s="352"/>
      <c r="B38" s="350"/>
      <c r="C38" s="350"/>
      <c r="D38" s="350"/>
      <c r="E38" s="350"/>
      <c r="F38" s="350"/>
      <c r="G38" s="350"/>
      <c r="H38" s="350"/>
      <c r="I38" s="350"/>
      <c r="J38" s="350"/>
      <c r="K38" s="352"/>
    </row>
    <row r="39" spans="1:11" ht="15.95" customHeight="1">
      <c r="A39" s="352"/>
      <c r="B39" s="351" t="s">
        <v>1127</v>
      </c>
      <c r="C39" s="350"/>
      <c r="D39" s="350"/>
      <c r="E39" s="350"/>
      <c r="F39" s="350"/>
      <c r="G39" s="350"/>
      <c r="H39" s="350"/>
      <c r="I39" s="350"/>
      <c r="J39" s="350"/>
      <c r="K39" s="352"/>
    </row>
    <row r="40" spans="1:11" ht="15.95" customHeight="1">
      <c r="A40" s="352"/>
      <c r="B40" s="350" t="s">
        <v>377</v>
      </c>
      <c r="C40" s="350"/>
      <c r="D40" s="350"/>
      <c r="E40" s="350"/>
      <c r="F40" s="350"/>
      <c r="G40" s="350"/>
      <c r="H40" s="350"/>
      <c r="I40" s="350"/>
      <c r="J40" s="350"/>
      <c r="K40" s="352"/>
    </row>
    <row r="41" spans="1:11" ht="15.95" customHeight="1">
      <c r="A41" s="352"/>
      <c r="B41" s="350"/>
      <c r="C41" s="350"/>
      <c r="D41" s="350"/>
      <c r="E41" s="350"/>
      <c r="F41" s="350"/>
      <c r="G41" s="350"/>
      <c r="H41" s="350"/>
      <c r="I41" s="350"/>
      <c r="J41" s="350"/>
      <c r="K41" s="352"/>
    </row>
    <row r="42" spans="1:11" ht="15.95" customHeight="1">
      <c r="A42" s="352"/>
      <c r="B42" s="350" t="s">
        <v>378</v>
      </c>
      <c r="C42" s="350"/>
      <c r="D42" s="350"/>
      <c r="E42" s="350"/>
      <c r="F42" s="350"/>
      <c r="G42" s="350"/>
      <c r="H42" s="350"/>
      <c r="I42" s="350"/>
      <c r="J42" s="350"/>
      <c r="K42" s="352"/>
    </row>
    <row r="43" spans="1:11" ht="15.95" customHeight="1">
      <c r="A43" s="352"/>
      <c r="B43" s="350" t="s">
        <v>379</v>
      </c>
      <c r="C43" s="350"/>
      <c r="D43" s="350"/>
      <c r="E43" s="350"/>
      <c r="F43" s="350"/>
      <c r="G43" s="350"/>
      <c r="H43" s="350"/>
      <c r="I43" s="350"/>
      <c r="J43" s="350"/>
      <c r="K43" s="352"/>
    </row>
    <row r="44" spans="1:11" ht="15.95" customHeight="1">
      <c r="A44" s="352"/>
      <c r="B44" s="350" t="s">
        <v>477</v>
      </c>
      <c r="C44" s="350"/>
      <c r="D44" s="350"/>
      <c r="E44" s="350"/>
      <c r="F44" s="350"/>
      <c r="G44" s="350"/>
      <c r="H44" s="350"/>
      <c r="I44" s="350"/>
      <c r="J44" s="350"/>
      <c r="K44" s="352"/>
    </row>
    <row r="45" spans="1:11" ht="15.95" customHeight="1">
      <c r="A45" s="352"/>
      <c r="B45" s="350" t="s">
        <v>380</v>
      </c>
      <c r="C45" s="350"/>
      <c r="D45" s="350"/>
      <c r="E45" s="350"/>
      <c r="F45" s="350"/>
      <c r="G45" s="350"/>
      <c r="H45" s="350"/>
      <c r="I45" s="350"/>
      <c r="J45" s="350"/>
      <c r="K45" s="352"/>
    </row>
    <row r="46" spans="1:11" ht="15.95" customHeight="1">
      <c r="A46" s="352"/>
      <c r="B46" s="350" t="s">
        <v>381</v>
      </c>
      <c r="C46" s="350"/>
      <c r="D46" s="350"/>
      <c r="E46" s="350"/>
      <c r="F46" s="350"/>
      <c r="G46" s="350"/>
      <c r="H46" s="350"/>
      <c r="I46" s="350"/>
      <c r="J46" s="350"/>
      <c r="K46" s="352"/>
    </row>
    <row r="47" spans="1:11" ht="15.95" customHeight="1">
      <c r="A47" s="352"/>
      <c r="B47" s="350"/>
      <c r="C47" s="350"/>
      <c r="D47" s="350"/>
      <c r="E47" s="350"/>
      <c r="F47" s="350"/>
      <c r="G47" s="350"/>
      <c r="H47" s="350"/>
      <c r="I47" s="350"/>
      <c r="J47" s="350"/>
      <c r="K47" s="352"/>
    </row>
    <row r="48" spans="1:11" ht="15.95" customHeight="1">
      <c r="A48" s="352"/>
      <c r="B48" s="350" t="s">
        <v>382</v>
      </c>
      <c r="C48" s="350"/>
      <c r="D48" s="350"/>
      <c r="E48" s="350"/>
      <c r="F48" s="350"/>
      <c r="G48" s="350"/>
      <c r="H48" s="350"/>
      <c r="I48" s="350"/>
      <c r="J48" s="350"/>
      <c r="K48" s="352"/>
    </row>
    <row r="49" spans="1:11" ht="15.95" customHeight="1">
      <c r="A49" s="352"/>
      <c r="B49" s="350" t="s">
        <v>383</v>
      </c>
      <c r="C49" s="350"/>
      <c r="D49" s="350"/>
      <c r="E49" s="350"/>
      <c r="F49" s="350"/>
      <c r="G49" s="350"/>
      <c r="H49" s="350"/>
      <c r="I49" s="350"/>
      <c r="J49" s="350"/>
      <c r="K49" s="352"/>
    </row>
    <row r="50" spans="1:11" ht="15.95" customHeight="1">
      <c r="A50" s="352"/>
      <c r="B50" s="350" t="s">
        <v>384</v>
      </c>
      <c r="C50" s="350"/>
      <c r="D50" s="350"/>
      <c r="E50" s="350"/>
      <c r="F50" s="350"/>
      <c r="G50" s="350"/>
      <c r="H50" s="350"/>
      <c r="I50" s="350"/>
      <c r="J50" s="350"/>
      <c r="K50" s="352"/>
    </row>
    <row r="51" spans="1:11" ht="15.95" customHeight="1">
      <c r="A51" s="352"/>
      <c r="B51" s="350" t="s">
        <v>385</v>
      </c>
      <c r="C51" s="350"/>
      <c r="D51" s="350"/>
      <c r="E51" s="350"/>
      <c r="F51" s="350"/>
      <c r="G51" s="350"/>
      <c r="H51" s="350"/>
      <c r="I51" s="350"/>
      <c r="J51" s="350"/>
      <c r="K51" s="352"/>
    </row>
    <row r="52" spans="1:11" ht="15.95" customHeight="1">
      <c r="A52" s="352"/>
      <c r="B52" s="350"/>
      <c r="C52" s="350"/>
      <c r="D52" s="350"/>
      <c r="E52" s="350"/>
      <c r="F52" s="350"/>
      <c r="G52" s="350"/>
      <c r="H52" s="350"/>
      <c r="I52" s="350"/>
      <c r="J52" s="350"/>
      <c r="K52" s="352"/>
    </row>
    <row r="53" spans="1:11" ht="15.95" customHeight="1">
      <c r="A53" s="352"/>
      <c r="B53" s="350" t="s">
        <v>386</v>
      </c>
      <c r="C53" s="350"/>
      <c r="D53" s="350"/>
      <c r="E53" s="350"/>
      <c r="F53" s="350"/>
      <c r="G53" s="350"/>
      <c r="H53" s="350"/>
      <c r="I53" s="350"/>
      <c r="J53" s="350"/>
      <c r="K53" s="352"/>
    </row>
    <row r="54" spans="1:11" ht="15.95" customHeight="1">
      <c r="A54" s="352"/>
      <c r="B54" s="350" t="s">
        <v>387</v>
      </c>
      <c r="C54" s="350"/>
      <c r="D54" s="350"/>
      <c r="E54" s="350"/>
      <c r="F54" s="350"/>
      <c r="G54" s="350"/>
      <c r="H54" s="350"/>
      <c r="I54" s="350"/>
      <c r="J54" s="350"/>
      <c r="K54" s="352"/>
    </row>
    <row r="55" spans="1:11" ht="15.95" customHeight="1">
      <c r="A55" s="352"/>
      <c r="B55" s="350" t="s">
        <v>388</v>
      </c>
      <c r="C55" s="350"/>
      <c r="D55" s="350"/>
      <c r="E55" s="350"/>
      <c r="F55" s="350"/>
      <c r="G55" s="350"/>
      <c r="H55" s="350"/>
      <c r="I55" s="350"/>
      <c r="J55" s="350"/>
      <c r="K55" s="352"/>
    </row>
    <row r="56" spans="1:11" ht="15.95" customHeight="1">
      <c r="A56" s="352"/>
      <c r="B56" s="352"/>
      <c r="C56" s="352"/>
      <c r="D56" s="352"/>
      <c r="E56" s="352"/>
      <c r="F56" s="352"/>
      <c r="G56" s="352"/>
      <c r="H56" s="352"/>
      <c r="I56" s="352"/>
      <c r="J56" s="352"/>
      <c r="K56" s="352"/>
    </row>
    <row r="57" spans="1:11" ht="15.95" customHeight="1">
      <c r="A57" s="352"/>
      <c r="B57" s="352"/>
      <c r="C57" s="352"/>
      <c r="D57" s="352"/>
      <c r="E57" s="352"/>
      <c r="F57" s="352"/>
      <c r="G57" s="352"/>
      <c r="H57" s="352"/>
      <c r="I57" s="352"/>
      <c r="J57" s="352"/>
      <c r="K57" s="352"/>
    </row>
    <row r="58" spans="1:11" ht="15.95" customHeight="1">
      <c r="A58" s="352"/>
      <c r="B58" s="350" t="s">
        <v>389</v>
      </c>
      <c r="C58" s="350"/>
      <c r="D58" s="350"/>
      <c r="E58" s="350"/>
      <c r="F58" s="350"/>
      <c r="G58" s="350"/>
      <c r="H58" s="350"/>
      <c r="I58" s="350"/>
      <c r="J58" s="350"/>
      <c r="K58" s="352"/>
    </row>
    <row r="59" spans="1:11" ht="15.95" customHeight="1">
      <c r="A59" s="352"/>
      <c r="B59" s="350" t="s">
        <v>400</v>
      </c>
      <c r="C59" s="350"/>
      <c r="D59" s="350"/>
      <c r="E59" s="350"/>
      <c r="F59" s="350"/>
      <c r="G59" s="350"/>
      <c r="H59" s="350"/>
      <c r="I59" s="350"/>
      <c r="J59" s="350"/>
      <c r="K59" s="352"/>
    </row>
    <row r="60" spans="1:11" ht="15.95" customHeight="1">
      <c r="A60" s="352"/>
      <c r="B60" s="350" t="s">
        <v>401</v>
      </c>
      <c r="C60" s="350"/>
      <c r="D60" s="350"/>
      <c r="E60" s="350"/>
      <c r="F60" s="350"/>
      <c r="G60" s="350"/>
      <c r="H60" s="350"/>
      <c r="I60" s="350"/>
      <c r="J60" s="350"/>
      <c r="K60" s="352"/>
    </row>
    <row r="61" spans="1:11" ht="15.95" customHeight="1">
      <c r="A61" s="352"/>
      <c r="B61" s="183"/>
      <c r="C61" s="183"/>
      <c r="D61" s="183"/>
      <c r="E61" s="183"/>
      <c r="F61" s="183"/>
      <c r="G61" s="183"/>
      <c r="H61" s="183"/>
      <c r="I61" s="183"/>
      <c r="J61" s="183"/>
      <c r="K61" s="352"/>
    </row>
    <row r="62" spans="1:11" ht="15.95" customHeight="1">
      <c r="A62" s="352"/>
      <c r="B62" s="350" t="s">
        <v>402</v>
      </c>
      <c r="C62" s="350"/>
      <c r="D62" s="350"/>
      <c r="E62" s="350"/>
      <c r="F62" s="350"/>
      <c r="G62" s="350"/>
      <c r="H62" s="350"/>
      <c r="I62" s="350"/>
      <c r="J62" s="350"/>
      <c r="K62" s="352"/>
    </row>
    <row r="63" spans="1:11" ht="15.95" customHeight="1">
      <c r="A63" s="352"/>
      <c r="B63" s="350" t="s">
        <v>390</v>
      </c>
      <c r="C63" s="350"/>
      <c r="D63" s="350"/>
      <c r="E63" s="350"/>
      <c r="F63" s="350"/>
      <c r="G63" s="350"/>
      <c r="H63" s="350"/>
      <c r="I63" s="350"/>
      <c r="J63" s="350"/>
      <c r="K63" s="352"/>
    </row>
    <row r="64" spans="1:11" ht="15.95" customHeight="1">
      <c r="A64" s="352"/>
      <c r="B64" s="350" t="s">
        <v>391</v>
      </c>
      <c r="C64" s="350"/>
      <c r="D64" s="350"/>
      <c r="E64" s="350"/>
      <c r="F64" s="350"/>
      <c r="G64" s="350"/>
      <c r="H64" s="350"/>
      <c r="I64" s="350"/>
      <c r="J64" s="350"/>
      <c r="K64" s="352"/>
    </row>
    <row r="65" spans="1:11" ht="15.95" customHeight="1">
      <c r="A65" s="352"/>
      <c r="B65" s="350"/>
      <c r="C65" s="350"/>
      <c r="D65" s="350"/>
      <c r="E65" s="350"/>
      <c r="F65" s="350"/>
      <c r="G65" s="350"/>
      <c r="H65" s="350"/>
      <c r="I65" s="350"/>
      <c r="J65" s="350"/>
      <c r="K65" s="352"/>
    </row>
    <row r="66" spans="1:11" ht="15.95" customHeight="1">
      <c r="A66" s="352"/>
      <c r="B66" s="350" t="s">
        <v>403</v>
      </c>
      <c r="C66" s="350"/>
      <c r="D66" s="350"/>
      <c r="E66" s="350"/>
      <c r="F66" s="350"/>
      <c r="G66" s="350"/>
      <c r="H66" s="350"/>
      <c r="I66" s="350"/>
      <c r="J66" s="350"/>
      <c r="K66" s="352"/>
    </row>
    <row r="67" spans="1:11" ht="15.95" customHeight="1">
      <c r="A67" s="352"/>
      <c r="B67" s="350" t="s">
        <v>392</v>
      </c>
      <c r="C67" s="350"/>
      <c r="D67" s="350"/>
      <c r="E67" s="350"/>
      <c r="F67" s="350"/>
      <c r="G67" s="350"/>
      <c r="H67" s="350"/>
      <c r="I67" s="350"/>
      <c r="J67" s="350"/>
      <c r="K67" s="352"/>
    </row>
    <row r="68" spans="1:11" ht="15.95" customHeight="1">
      <c r="A68" s="352"/>
      <c r="B68" s="350" t="s">
        <v>393</v>
      </c>
      <c r="C68" s="350"/>
      <c r="D68" s="350"/>
      <c r="E68" s="350"/>
      <c r="F68" s="350"/>
      <c r="G68" s="350"/>
      <c r="H68" s="350"/>
      <c r="I68" s="350"/>
      <c r="J68" s="350"/>
      <c r="K68" s="352"/>
    </row>
    <row r="69" spans="1:11" ht="15.95" customHeight="1">
      <c r="A69" s="352"/>
      <c r="B69" s="350"/>
      <c r="C69" s="350"/>
      <c r="D69" s="350"/>
      <c r="E69" s="350"/>
      <c r="F69" s="350"/>
      <c r="G69" s="350"/>
      <c r="H69" s="350"/>
      <c r="I69" s="350"/>
      <c r="J69" s="350"/>
      <c r="K69" s="352"/>
    </row>
    <row r="70" spans="1:11" ht="15.95" customHeight="1">
      <c r="A70" s="352"/>
      <c r="B70" s="350" t="s">
        <v>404</v>
      </c>
      <c r="C70" s="350"/>
      <c r="D70" s="350"/>
      <c r="E70" s="350"/>
      <c r="F70" s="350"/>
      <c r="G70" s="350"/>
      <c r="H70" s="350"/>
      <c r="I70" s="350"/>
      <c r="J70" s="350"/>
      <c r="K70" s="352"/>
    </row>
    <row r="71" spans="1:11" ht="15.95" customHeight="1">
      <c r="A71" s="352"/>
      <c r="B71" s="350" t="s">
        <v>394</v>
      </c>
      <c r="C71" s="350"/>
      <c r="D71" s="350"/>
      <c r="E71" s="350"/>
      <c r="F71" s="350"/>
      <c r="G71" s="350"/>
      <c r="H71" s="350"/>
      <c r="I71" s="350"/>
      <c r="J71" s="350"/>
      <c r="K71" s="352"/>
    </row>
    <row r="72" spans="1:11" ht="15.95" customHeight="1">
      <c r="A72" s="352"/>
      <c r="B72" s="355" t="s">
        <v>463</v>
      </c>
      <c r="C72" s="355"/>
      <c r="D72" s="355"/>
      <c r="E72" s="355"/>
      <c r="F72" s="355"/>
      <c r="G72" s="355"/>
      <c r="H72" s="355"/>
      <c r="I72" s="355"/>
      <c r="J72" s="355"/>
      <c r="K72" s="352"/>
    </row>
    <row r="73" spans="1:11" ht="15.95" customHeight="1">
      <c r="A73" s="352"/>
      <c r="B73" s="355"/>
      <c r="C73" s="355"/>
      <c r="D73" s="355"/>
      <c r="E73" s="355"/>
      <c r="F73" s="355"/>
      <c r="G73" s="355"/>
      <c r="H73" s="355"/>
      <c r="I73" s="355"/>
      <c r="J73" s="355"/>
      <c r="K73" s="352"/>
    </row>
    <row r="74" spans="1:11" ht="15.95" customHeight="1">
      <c r="A74" s="352"/>
      <c r="B74" s="355"/>
      <c r="C74" s="355"/>
      <c r="D74" s="355"/>
      <c r="E74" s="355"/>
      <c r="F74" s="355"/>
      <c r="G74" s="355"/>
      <c r="H74" s="355"/>
      <c r="I74" s="355"/>
      <c r="J74" s="355"/>
      <c r="K74" s="352"/>
    </row>
    <row r="75" spans="1:11" ht="15.95" customHeight="1">
      <c r="A75" s="352"/>
      <c r="B75" s="355"/>
      <c r="C75" s="355"/>
      <c r="D75" s="355"/>
      <c r="E75" s="355"/>
      <c r="F75" s="355"/>
      <c r="G75" s="355"/>
      <c r="H75" s="355"/>
      <c r="I75" s="355"/>
      <c r="J75" s="355"/>
      <c r="K75" s="352"/>
    </row>
    <row r="76" spans="1:11" ht="15.95" customHeight="1">
      <c r="A76" s="352"/>
      <c r="B76" s="354" t="s">
        <v>395</v>
      </c>
      <c r="C76" s="354"/>
      <c r="D76" s="354"/>
      <c r="E76" s="354"/>
      <c r="F76" s="354"/>
      <c r="G76" s="354"/>
      <c r="H76" s="354"/>
      <c r="I76" s="354"/>
      <c r="J76" s="354"/>
      <c r="K76" s="352"/>
    </row>
    <row r="77" spans="1:11" ht="15.95" customHeight="1">
      <c r="A77" s="352"/>
      <c r="B77" s="372" t="s">
        <v>1128</v>
      </c>
      <c r="C77" s="373"/>
      <c r="D77" s="373"/>
      <c r="E77" s="373"/>
      <c r="F77" s="373"/>
      <c r="G77" s="373"/>
      <c r="H77" s="373"/>
      <c r="I77" s="373"/>
      <c r="J77" s="373"/>
      <c r="K77" s="352"/>
    </row>
    <row r="78" spans="1:11" ht="15.95" customHeight="1">
      <c r="A78" s="352"/>
      <c r="B78" s="373"/>
      <c r="C78" s="373"/>
      <c r="D78" s="373"/>
      <c r="E78" s="373"/>
      <c r="F78" s="373"/>
      <c r="G78" s="373"/>
      <c r="H78" s="373"/>
      <c r="I78" s="373"/>
      <c r="J78" s="373"/>
      <c r="K78" s="352"/>
    </row>
    <row r="79" spans="1:11" ht="15.95" customHeight="1">
      <c r="A79" s="352"/>
      <c r="B79" s="373"/>
      <c r="C79" s="373"/>
      <c r="D79" s="373"/>
      <c r="E79" s="373"/>
      <c r="F79" s="373"/>
      <c r="G79" s="373"/>
      <c r="H79" s="373"/>
      <c r="I79" s="373"/>
      <c r="J79" s="373"/>
      <c r="K79" s="352"/>
    </row>
    <row r="80" spans="1:11" ht="15.95" customHeight="1">
      <c r="A80" s="352"/>
      <c r="B80" s="373"/>
      <c r="C80" s="373"/>
      <c r="D80" s="373"/>
      <c r="E80" s="373"/>
      <c r="F80" s="373"/>
      <c r="G80" s="373"/>
      <c r="H80" s="373"/>
      <c r="I80" s="373"/>
      <c r="J80" s="373"/>
      <c r="K80" s="352"/>
    </row>
    <row r="81" spans="1:11" ht="15.95" customHeight="1">
      <c r="A81" s="352"/>
      <c r="B81" s="373"/>
      <c r="C81" s="373"/>
      <c r="D81" s="373"/>
      <c r="E81" s="373"/>
      <c r="F81" s="373"/>
      <c r="G81" s="373"/>
      <c r="H81" s="373"/>
      <c r="I81" s="373"/>
      <c r="J81" s="373"/>
      <c r="K81" s="352"/>
    </row>
    <row r="82" spans="1:11" ht="15.95" customHeight="1">
      <c r="A82" s="352"/>
      <c r="B82" s="355" t="s">
        <v>399</v>
      </c>
      <c r="C82" s="355"/>
      <c r="D82" s="355"/>
      <c r="E82" s="355"/>
      <c r="F82" s="355"/>
      <c r="G82" s="355"/>
      <c r="H82" s="355"/>
      <c r="I82" s="355"/>
      <c r="J82" s="355"/>
      <c r="K82" s="352"/>
    </row>
    <row r="83" spans="1:11" ht="15.95" customHeight="1">
      <c r="A83" s="352"/>
      <c r="B83" s="355"/>
      <c r="C83" s="355"/>
      <c r="D83" s="355"/>
      <c r="E83" s="355"/>
      <c r="F83" s="355"/>
      <c r="G83" s="355"/>
      <c r="H83" s="355"/>
      <c r="I83" s="355"/>
      <c r="J83" s="355"/>
      <c r="K83" s="352"/>
    </row>
    <row r="84" spans="1:11" ht="15.95" customHeight="1">
      <c r="A84" s="352"/>
      <c r="B84" s="350"/>
      <c r="C84" s="350"/>
      <c r="D84" s="350"/>
      <c r="E84" s="350"/>
      <c r="F84" s="350"/>
      <c r="G84" s="350"/>
      <c r="H84" s="350"/>
      <c r="I84" s="350"/>
      <c r="J84" s="350"/>
      <c r="K84" s="352"/>
    </row>
    <row r="85" spans="1:11" ht="15.95" customHeight="1">
      <c r="A85" s="352"/>
      <c r="B85" s="350" t="s">
        <v>396</v>
      </c>
      <c r="C85" s="350"/>
      <c r="D85" s="350"/>
      <c r="E85" s="350"/>
      <c r="F85" s="350"/>
      <c r="G85" s="350"/>
      <c r="H85" s="350"/>
      <c r="I85" s="350"/>
      <c r="J85" s="350"/>
      <c r="K85" s="352"/>
    </row>
    <row r="86" spans="1:11" ht="15.95" customHeight="1">
      <c r="A86" s="352"/>
      <c r="B86" s="350" t="s">
        <v>493</v>
      </c>
      <c r="C86" s="350"/>
      <c r="D86" s="350"/>
      <c r="E86" s="350"/>
      <c r="F86" s="350"/>
      <c r="G86" s="350"/>
      <c r="H86" s="350"/>
      <c r="I86" s="350"/>
      <c r="J86" s="350"/>
      <c r="K86" s="352"/>
    </row>
    <row r="87" spans="1:11" ht="27" customHeight="1">
      <c r="A87" s="352"/>
      <c r="B87" s="351" t="s">
        <v>964</v>
      </c>
      <c r="C87" s="350"/>
      <c r="D87" s="350"/>
      <c r="E87" s="350"/>
      <c r="F87" s="350"/>
      <c r="G87" s="350"/>
      <c r="H87" s="350"/>
      <c r="I87" s="350"/>
      <c r="J87" s="350"/>
      <c r="K87" s="352"/>
    </row>
    <row r="88" spans="1:11" ht="5.25" customHeight="1">
      <c r="A88" s="352"/>
      <c r="B88" s="350"/>
      <c r="C88" s="350"/>
      <c r="D88" s="350"/>
      <c r="E88" s="350"/>
      <c r="F88" s="350"/>
      <c r="G88" s="350"/>
      <c r="H88" s="350"/>
      <c r="I88" s="350"/>
      <c r="J88" s="350"/>
      <c r="K88" s="352"/>
    </row>
    <row r="89" spans="1:11" ht="15.95" customHeight="1">
      <c r="A89" s="352"/>
      <c r="B89" s="353" t="s">
        <v>405</v>
      </c>
      <c r="C89" s="353"/>
      <c r="D89" s="353"/>
      <c r="E89" s="353"/>
      <c r="F89" s="353"/>
      <c r="G89" s="353"/>
      <c r="H89" s="353"/>
      <c r="I89" s="353"/>
      <c r="J89" s="353"/>
      <c r="K89" s="352"/>
    </row>
    <row r="90" spans="1:11" ht="38.25" customHeight="1">
      <c r="A90" s="352"/>
      <c r="B90" s="351" t="s">
        <v>1139</v>
      </c>
      <c r="C90" s="350"/>
      <c r="D90" s="350"/>
      <c r="E90" s="350"/>
      <c r="F90" s="350"/>
      <c r="G90" s="350"/>
      <c r="H90" s="350"/>
      <c r="I90" s="350"/>
      <c r="J90" s="350"/>
      <c r="K90" s="352"/>
    </row>
    <row r="91" spans="1:11" ht="54" customHeight="1">
      <c r="A91" s="352"/>
      <c r="B91" s="351" t="s">
        <v>1129</v>
      </c>
      <c r="C91" s="350"/>
      <c r="D91" s="350"/>
      <c r="E91" s="350"/>
      <c r="F91" s="350"/>
      <c r="G91" s="350"/>
      <c r="H91" s="350"/>
      <c r="I91" s="350"/>
      <c r="J91" s="350"/>
      <c r="K91" s="352"/>
    </row>
    <row r="92" spans="1:11" ht="15.95" customHeight="1">
      <c r="A92" s="352"/>
      <c r="B92" s="356" t="s">
        <v>397</v>
      </c>
      <c r="C92" s="356"/>
      <c r="D92" s="356"/>
      <c r="E92" s="356"/>
      <c r="F92" s="356"/>
      <c r="G92" s="356"/>
      <c r="H92" s="356"/>
      <c r="I92" s="356"/>
      <c r="J92" s="356"/>
      <c r="K92" s="352"/>
    </row>
    <row r="93" spans="1:11" ht="15.95" customHeight="1">
      <c r="A93" s="352"/>
      <c r="B93" s="356" t="s">
        <v>489</v>
      </c>
      <c r="C93" s="356"/>
      <c r="D93" s="356"/>
      <c r="E93" s="356"/>
      <c r="F93" s="356"/>
      <c r="G93" s="356"/>
      <c r="H93" s="356"/>
      <c r="I93" s="356"/>
      <c r="J93" s="356"/>
      <c r="K93" s="352"/>
    </row>
    <row r="94" spans="1:11" ht="15.95" customHeight="1">
      <c r="A94" s="352"/>
      <c r="B94" s="356" t="s">
        <v>1059</v>
      </c>
      <c r="C94" s="356"/>
      <c r="D94" s="356"/>
      <c r="E94" s="356"/>
      <c r="F94" s="356"/>
      <c r="G94" s="356"/>
      <c r="H94" s="356"/>
      <c r="I94" s="356"/>
      <c r="J94" s="356"/>
      <c r="K94" s="352"/>
    </row>
    <row r="95" spans="1:11" ht="15.95" customHeight="1">
      <c r="A95" s="352"/>
      <c r="B95" s="352"/>
      <c r="C95" s="352"/>
      <c r="D95" s="352"/>
      <c r="E95" s="352"/>
      <c r="F95" s="352"/>
      <c r="G95" s="352"/>
      <c r="H95" s="352"/>
      <c r="I95" s="352"/>
      <c r="J95" s="352"/>
      <c r="K95" s="352"/>
    </row>
    <row r="97" spans="1:11" ht="15.95" customHeight="1">
      <c r="A97" s="352"/>
      <c r="B97" s="352"/>
      <c r="C97" s="352"/>
      <c r="D97" s="352"/>
      <c r="E97" s="352"/>
      <c r="F97" s="352"/>
      <c r="G97" s="352"/>
      <c r="H97" s="352"/>
      <c r="I97" s="352"/>
      <c r="J97" s="352"/>
      <c r="K97" s="352"/>
    </row>
    <row r="98" spans="1:11" ht="15.95" customHeight="1">
      <c r="A98" s="352"/>
      <c r="B98" s="314"/>
      <c r="C98" s="314"/>
      <c r="K98" s="352"/>
    </row>
    <row r="99" spans="1:11" ht="15.95" customHeight="1">
      <c r="A99" s="352"/>
      <c r="B99" s="314"/>
      <c r="C99" s="314"/>
      <c r="K99" s="352"/>
    </row>
    <row r="100" spans="1:11" ht="15.95" customHeight="1">
      <c r="A100" s="352"/>
      <c r="B100" s="314"/>
      <c r="C100" s="314"/>
      <c r="K100" s="352"/>
    </row>
    <row r="101" spans="1:11" ht="15.95" customHeight="1">
      <c r="A101" s="352"/>
      <c r="B101" s="314"/>
      <c r="C101" s="314"/>
      <c r="K101" s="352"/>
    </row>
    <row r="102" spans="1:11" ht="15.95" customHeight="1">
      <c r="A102" s="352"/>
      <c r="B102" s="314"/>
      <c r="C102" s="314"/>
      <c r="K102" s="352"/>
    </row>
    <row r="103" spans="1:11" ht="15.95" customHeight="1">
      <c r="A103" s="352"/>
      <c r="B103" s="314"/>
      <c r="C103" s="314"/>
      <c r="K103" s="352"/>
    </row>
    <row r="104" spans="1:11" ht="15.95" customHeight="1">
      <c r="A104" s="352"/>
      <c r="B104" s="314"/>
      <c r="C104" s="314"/>
      <c r="K104" s="352"/>
    </row>
    <row r="105" spans="1:11" ht="15.95" customHeight="1">
      <c r="A105" s="352"/>
      <c r="B105" s="314"/>
      <c r="C105" s="314"/>
      <c r="K105" s="352"/>
    </row>
    <row r="106" spans="1:11" ht="15.95" customHeight="1">
      <c r="A106" s="352"/>
      <c r="B106" s="314"/>
      <c r="C106" s="314"/>
      <c r="K106" s="352"/>
    </row>
    <row r="107" spans="1:11" ht="15.95" customHeight="1">
      <c r="A107" s="352"/>
      <c r="B107" s="314"/>
      <c r="C107" s="314"/>
      <c r="K107" s="352"/>
    </row>
    <row r="108" spans="1:11" ht="15.95" customHeight="1">
      <c r="A108" s="352"/>
      <c r="B108" s="314"/>
      <c r="C108" s="314"/>
      <c r="K108" s="352"/>
    </row>
    <row r="109" spans="1:11" ht="15.95" customHeight="1">
      <c r="A109" s="352"/>
      <c r="B109" s="314"/>
      <c r="C109" s="314"/>
      <c r="K109" s="352"/>
    </row>
    <row r="110" spans="1:11" ht="15.95" customHeight="1">
      <c r="A110" s="352"/>
      <c r="B110" s="314"/>
      <c r="C110" s="314"/>
      <c r="K110" s="352"/>
    </row>
    <row r="111" spans="1:11" ht="15.95" customHeight="1">
      <c r="A111" s="352"/>
      <c r="B111" s="314"/>
      <c r="C111" s="314"/>
      <c r="K111" s="352"/>
    </row>
    <row r="112" spans="1:11" ht="15.95" customHeight="1">
      <c r="A112" s="352"/>
      <c r="B112" s="314"/>
      <c r="C112" s="314"/>
      <c r="K112" s="352"/>
    </row>
    <row r="113" spans="1:11" ht="15.95" customHeight="1">
      <c r="A113" s="352"/>
      <c r="B113" s="314"/>
      <c r="C113" s="314"/>
      <c r="K113" s="352"/>
    </row>
    <row r="114" spans="1:11" ht="15.95" customHeight="1">
      <c r="A114" s="352"/>
      <c r="B114" s="314"/>
      <c r="C114" s="314"/>
      <c r="K114" s="352"/>
    </row>
    <row r="115" spans="1:11" ht="15.95" customHeight="1">
      <c r="A115" s="352"/>
      <c r="B115" s="314"/>
      <c r="C115" s="314"/>
      <c r="K115" s="352"/>
    </row>
    <row r="116" spans="1:11" ht="15.95" customHeight="1">
      <c r="A116" s="352"/>
      <c r="B116" s="314"/>
      <c r="C116" s="314"/>
      <c r="K116" s="352"/>
    </row>
    <row r="117" spans="1:11" ht="15.95" customHeight="1">
      <c r="A117" s="352"/>
      <c r="B117" s="314"/>
      <c r="C117" s="314"/>
      <c r="K117" s="352"/>
    </row>
    <row r="118" spans="1:11" ht="15.95" customHeight="1">
      <c r="A118" s="352"/>
      <c r="B118" s="314"/>
      <c r="C118" s="314"/>
      <c r="K118" s="352"/>
    </row>
    <row r="119" spans="1:11" ht="15.95" customHeight="1">
      <c r="A119" s="352"/>
      <c r="B119" s="314"/>
      <c r="C119" s="314"/>
      <c r="K119" s="352"/>
    </row>
    <row r="120" spans="1:11" ht="15.95" customHeight="1">
      <c r="A120" s="352"/>
      <c r="B120" s="314"/>
      <c r="C120" s="314"/>
      <c r="K120" s="352"/>
    </row>
    <row r="121" spans="1:11" ht="15.95" customHeight="1">
      <c r="A121" s="352"/>
      <c r="B121" s="314"/>
      <c r="C121" s="314"/>
      <c r="K121" s="352"/>
    </row>
    <row r="122" spans="1:11" ht="15.95" customHeight="1">
      <c r="A122" s="352"/>
      <c r="B122" s="314"/>
      <c r="C122" s="314"/>
      <c r="K122" s="352"/>
    </row>
    <row r="123" spans="1:11" ht="15.95" customHeight="1">
      <c r="A123" s="352"/>
      <c r="B123" s="307"/>
      <c r="C123" s="307"/>
      <c r="K123" s="352"/>
    </row>
    <row r="124" spans="1:11" ht="15.95" customHeight="1">
      <c r="A124" s="352"/>
      <c r="B124" s="352"/>
      <c r="C124" s="352"/>
      <c r="D124" s="352"/>
      <c r="E124" s="352"/>
      <c r="F124" s="352"/>
      <c r="G124" s="352"/>
      <c r="H124" s="352"/>
      <c r="I124" s="352"/>
      <c r="J124" s="352"/>
      <c r="K124" s="352"/>
    </row>
    <row r="125" spans="1:11" ht="15.95" hidden="1" customHeight="1">
      <c r="A125" s="352"/>
      <c r="K125" s="352"/>
    </row>
    <row r="126" spans="1:11" ht="15.95" hidden="1" customHeight="1">
      <c r="A126" s="352"/>
      <c r="K126" s="352"/>
    </row>
    <row r="127" spans="1:11" ht="15.95" hidden="1" customHeight="1">
      <c r="A127" s="352"/>
      <c r="K127" s="352"/>
    </row>
    <row r="128" spans="1:11" ht="15.95" hidden="1" customHeight="1">
      <c r="A128" s="352"/>
      <c r="K128" s="352"/>
    </row>
  </sheetData>
  <sheetProtection password="F2F3" sheet="1" objects="1" scenarios="1" formatCells="0" formatColumns="0" formatRows="0"/>
  <customSheetViews>
    <customSheetView guid="{BC7AD179-3218-4244-A3F6-4056F6A573C9}">
      <selection activeCell="A98" sqref="A98:A124"/>
      <pageMargins left="0.75" right="0.75" top="1" bottom="1" header="0.5" footer="0.5"/>
      <pageSetup paperSize="5" orientation="portrait" r:id="rId1"/>
      <headerFooter alignWithMargins="0"/>
    </customSheetView>
  </customSheetViews>
  <mergeCells count="94">
    <mergeCell ref="B27:J27"/>
    <mergeCell ref="B28:J28"/>
    <mergeCell ref="B26:J26"/>
    <mergeCell ref="B42:J42"/>
    <mergeCell ref="B41:J41"/>
    <mergeCell ref="B34:J34"/>
    <mergeCell ref="B30:J30"/>
    <mergeCell ref="B31:J31"/>
    <mergeCell ref="B32:J32"/>
    <mergeCell ref="B33:J33"/>
    <mergeCell ref="K98:K128"/>
    <mergeCell ref="A98:A128"/>
    <mergeCell ref="B51:J51"/>
    <mergeCell ref="B52:J52"/>
    <mergeCell ref="B35:J35"/>
    <mergeCell ref="B46:J46"/>
    <mergeCell ref="B37:J37"/>
    <mergeCell ref="B38:J38"/>
    <mergeCell ref="B45:J45"/>
    <mergeCell ref="B48:J48"/>
    <mergeCell ref="B95:J95"/>
    <mergeCell ref="B94:J94"/>
    <mergeCell ref="B77:J81"/>
    <mergeCell ref="B82:J83"/>
    <mergeCell ref="B90:J90"/>
    <mergeCell ref="B93:J93"/>
    <mergeCell ref="B10:J10"/>
    <mergeCell ref="B24:J24"/>
    <mergeCell ref="B12:J12"/>
    <mergeCell ref="B22:J22"/>
    <mergeCell ref="B17:J17"/>
    <mergeCell ref="B13:J13"/>
    <mergeCell ref="B18:J18"/>
    <mergeCell ref="B11:J11"/>
    <mergeCell ref="B14:J14"/>
    <mergeCell ref="B16:J16"/>
    <mergeCell ref="B19:J19"/>
    <mergeCell ref="B23:J23"/>
    <mergeCell ref="A1:K1"/>
    <mergeCell ref="K2:K55"/>
    <mergeCell ref="A2:A55"/>
    <mergeCell ref="B2:J2"/>
    <mergeCell ref="B15:J15"/>
    <mergeCell ref="B20:J20"/>
    <mergeCell ref="B25:J25"/>
    <mergeCell ref="B21:J21"/>
    <mergeCell ref="B3:J3"/>
    <mergeCell ref="B4:J4"/>
    <mergeCell ref="B5:J5"/>
    <mergeCell ref="B6:J6"/>
    <mergeCell ref="B7:J7"/>
    <mergeCell ref="B8:J8"/>
    <mergeCell ref="B9:J9"/>
    <mergeCell ref="B29:J29"/>
    <mergeCell ref="B92:J92"/>
    <mergeCell ref="B60:J60"/>
    <mergeCell ref="B59:J59"/>
    <mergeCell ref="B49:J49"/>
    <mergeCell ref="B58:J58"/>
    <mergeCell ref="B50:J50"/>
    <mergeCell ref="B87:J87"/>
    <mergeCell ref="B68:J68"/>
    <mergeCell ref="B54:J54"/>
    <mergeCell ref="B53:J53"/>
    <mergeCell ref="A57:K57"/>
    <mergeCell ref="A56:K56"/>
    <mergeCell ref="B62:J62"/>
    <mergeCell ref="A58:A95"/>
    <mergeCell ref="B66:J66"/>
    <mergeCell ref="B71:J71"/>
    <mergeCell ref="A97:K97"/>
    <mergeCell ref="B63:J63"/>
    <mergeCell ref="B64:J64"/>
    <mergeCell ref="B124:J124"/>
    <mergeCell ref="B89:J89"/>
    <mergeCell ref="B84:J84"/>
    <mergeCell ref="B67:J67"/>
    <mergeCell ref="B91:J91"/>
    <mergeCell ref="B88:J88"/>
    <mergeCell ref="B85:J85"/>
    <mergeCell ref="B69:J69"/>
    <mergeCell ref="B70:J70"/>
    <mergeCell ref="B76:J76"/>
    <mergeCell ref="B72:J75"/>
    <mergeCell ref="K58:K95"/>
    <mergeCell ref="B65:J65"/>
    <mergeCell ref="B43:J43"/>
    <mergeCell ref="B39:J39"/>
    <mergeCell ref="B40:J40"/>
    <mergeCell ref="B36:J36"/>
    <mergeCell ref="B86:J86"/>
    <mergeCell ref="B55:J55"/>
    <mergeCell ref="B47:J47"/>
    <mergeCell ref="B44:J44"/>
  </mergeCells>
  <phoneticPr fontId="0" type="noConversion"/>
  <pageMargins left="0.75" right="0.75" top="1" bottom="1" header="0.5" footer="0.5"/>
  <pageSetup paperSize="5" orientation="portrait" r:id="rId2"/>
  <headerFooter alignWithMargins="0"/>
  <rowBreaks count="2" manualBreakCount="2">
    <brk id="52" max="16383" man="1"/>
    <brk id="95" max="16383" man="1"/>
  </rowBreaks>
  <legacyDrawing r:id="rId3"/>
  <oleObjects>
    <oleObject progId="Word.Document.12" shapeId="33795" r:id="rId4"/>
  </oleObjects>
</worksheet>
</file>

<file path=xl/worksheets/sheet3.xml><?xml version="1.0" encoding="utf-8"?>
<worksheet xmlns="http://schemas.openxmlformats.org/spreadsheetml/2006/main" xmlns:r="http://schemas.openxmlformats.org/officeDocument/2006/relationships">
  <sheetPr codeName="Sheet11" enableFormatConditionsCalculation="0">
    <tabColor indexed="15"/>
  </sheetPr>
  <dimension ref="A1:I112"/>
  <sheetViews>
    <sheetView topLeftCell="A79" workbookViewId="0">
      <selection activeCell="J96" sqref="J96"/>
    </sheetView>
  </sheetViews>
  <sheetFormatPr defaultRowHeight="12.75"/>
  <cols>
    <col min="1" max="3" width="9.140625" style="195"/>
    <col min="4" max="4" width="12.7109375" style="195" bestFit="1" customWidth="1"/>
    <col min="5" max="5" width="8.7109375" style="195" customWidth="1"/>
    <col min="6" max="6" width="9.5703125" style="195" customWidth="1"/>
    <col min="7" max="7" width="9.140625" style="197"/>
    <col min="8" max="8" width="11.5703125" style="195" customWidth="1"/>
    <col min="9" max="16384" width="9.140625" style="195"/>
  </cols>
  <sheetData>
    <row r="1" spans="1:9">
      <c r="A1" s="374" t="str">
        <f>'Data Sheet'!A1</f>
        <v>UNION BANK OF INDIA</v>
      </c>
      <c r="B1" s="374"/>
      <c r="C1" s="374"/>
      <c r="D1" s="374"/>
      <c r="E1" s="374"/>
      <c r="F1" s="374"/>
      <c r="G1" s="374"/>
      <c r="H1" s="374"/>
      <c r="I1" s="374"/>
    </row>
    <row r="2" spans="1:9">
      <c r="A2" s="196"/>
      <c r="B2" s="196"/>
      <c r="C2" s="196"/>
      <c r="D2" s="196"/>
      <c r="E2" s="196"/>
      <c r="F2" s="196"/>
      <c r="H2" s="196"/>
      <c r="I2" s="196"/>
    </row>
    <row r="3" spans="1:9">
      <c r="A3" s="375" t="s">
        <v>33</v>
      </c>
      <c r="B3" s="375"/>
      <c r="C3" s="376"/>
      <c r="D3" s="376"/>
      <c r="E3" s="376"/>
      <c r="F3" s="375" t="s">
        <v>409</v>
      </c>
      <c r="G3" s="375"/>
      <c r="H3" s="376"/>
      <c r="I3" s="376"/>
    </row>
    <row r="4" spans="1:9">
      <c r="A4" s="375" t="s">
        <v>3</v>
      </c>
      <c r="B4" s="375"/>
      <c r="C4" s="376"/>
      <c r="D4" s="376"/>
      <c r="E4" s="376"/>
      <c r="F4" s="375" t="s">
        <v>410</v>
      </c>
      <c r="G4" s="375"/>
      <c r="H4" s="376"/>
      <c r="I4" s="376"/>
    </row>
    <row r="5" spans="1:9">
      <c r="A5" s="375" t="s">
        <v>408</v>
      </c>
      <c r="B5" s="375"/>
      <c r="C5" s="376"/>
      <c r="D5" s="376"/>
      <c r="E5" s="376"/>
      <c r="F5" s="375" t="s">
        <v>865</v>
      </c>
      <c r="G5" s="375"/>
      <c r="H5" s="377"/>
      <c r="I5" s="377"/>
    </row>
    <row r="6" spans="1:9">
      <c r="A6" s="375" t="s">
        <v>412</v>
      </c>
      <c r="B6" s="375"/>
      <c r="C6" s="376"/>
      <c r="D6" s="376"/>
      <c r="E6" s="376"/>
      <c r="F6" s="375" t="s">
        <v>411</v>
      </c>
      <c r="G6" s="375"/>
      <c r="H6" s="376"/>
      <c r="I6" s="376"/>
    </row>
    <row r="8" spans="1:9">
      <c r="G8" s="197" t="s">
        <v>166</v>
      </c>
      <c r="H8" s="378"/>
      <c r="I8" s="379"/>
    </row>
    <row r="10" spans="1:9">
      <c r="A10" s="381" t="s">
        <v>413</v>
      </c>
      <c r="B10" s="381"/>
      <c r="C10" s="381"/>
      <c r="D10" s="381"/>
    </row>
    <row r="11" spans="1:9">
      <c r="A11" s="382"/>
      <c r="B11" s="382"/>
      <c r="C11" s="382"/>
      <c r="D11" s="382"/>
    </row>
    <row r="12" spans="1:9">
      <c r="A12" s="374"/>
      <c r="B12" s="374"/>
      <c r="C12" s="374"/>
    </row>
    <row r="13" spans="1:9">
      <c r="A13" s="383" t="s">
        <v>1140</v>
      </c>
      <c r="B13" s="383"/>
      <c r="C13" s="383"/>
      <c r="D13" s="383"/>
      <c r="E13" s="383"/>
      <c r="F13" s="383"/>
      <c r="G13" s="383"/>
      <c r="H13" s="383"/>
      <c r="I13" s="383"/>
    </row>
    <row r="15" spans="1:9" s="198" customFormat="1" ht="45.75" customHeight="1">
      <c r="A15" s="387" t="s">
        <v>1141</v>
      </c>
      <c r="B15" s="385"/>
      <c r="C15" s="385"/>
      <c r="D15" s="385"/>
      <c r="E15" s="385"/>
      <c r="F15" s="385"/>
      <c r="G15" s="385"/>
      <c r="H15" s="385"/>
      <c r="I15" s="385"/>
    </row>
    <row r="16" spans="1:9" s="199" customFormat="1" ht="27" customHeight="1">
      <c r="A16" s="385" t="s">
        <v>447</v>
      </c>
      <c r="B16" s="385"/>
      <c r="C16" s="385"/>
      <c r="D16" s="385"/>
      <c r="E16" s="385"/>
      <c r="F16" s="385"/>
      <c r="G16" s="385"/>
      <c r="H16" s="385"/>
      <c r="I16" s="385"/>
    </row>
    <row r="17" spans="1:9">
      <c r="A17" s="200"/>
      <c r="B17" s="200"/>
      <c r="C17" s="200"/>
      <c r="D17" s="200"/>
      <c r="E17" s="200"/>
      <c r="F17" s="200"/>
      <c r="H17" s="200"/>
      <c r="I17" s="200"/>
    </row>
    <row r="18" spans="1:9" s="212" customFormat="1" ht="25.5">
      <c r="A18" s="380" t="s">
        <v>414</v>
      </c>
      <c r="B18" s="380"/>
      <c r="C18" s="380"/>
      <c r="D18" s="380"/>
      <c r="E18" s="380"/>
      <c r="F18" s="201" t="s">
        <v>407</v>
      </c>
      <c r="G18" s="201" t="s">
        <v>415</v>
      </c>
      <c r="H18" s="380" t="s">
        <v>416</v>
      </c>
      <c r="I18" s="380"/>
    </row>
    <row r="19" spans="1:9">
      <c r="A19" s="386" t="s">
        <v>417</v>
      </c>
      <c r="B19" s="386"/>
      <c r="C19" s="386"/>
      <c r="D19" s="386"/>
      <c r="E19" s="386"/>
      <c r="F19" s="259"/>
      <c r="G19" s="213" t="s">
        <v>437</v>
      </c>
      <c r="H19" s="384"/>
      <c r="I19" s="384"/>
    </row>
    <row r="20" spans="1:9">
      <c r="A20" s="386" t="s">
        <v>418</v>
      </c>
      <c r="B20" s="386"/>
      <c r="C20" s="386"/>
      <c r="D20" s="386"/>
      <c r="E20" s="386"/>
      <c r="F20" s="386"/>
      <c r="G20" s="213" t="s">
        <v>437</v>
      </c>
      <c r="H20" s="384"/>
      <c r="I20" s="384"/>
    </row>
    <row r="21" spans="1:9">
      <c r="A21" s="386" t="s">
        <v>419</v>
      </c>
      <c r="B21" s="386"/>
      <c r="C21" s="386"/>
      <c r="D21" s="386"/>
      <c r="E21" s="386"/>
      <c r="F21" s="386"/>
      <c r="G21" s="213" t="s">
        <v>437</v>
      </c>
      <c r="H21" s="384"/>
      <c r="I21" s="384"/>
    </row>
    <row r="22" spans="1:9">
      <c r="A22" s="386" t="s">
        <v>860</v>
      </c>
      <c r="B22" s="386"/>
      <c r="C22" s="386"/>
      <c r="D22" s="386"/>
      <c r="E22" s="386"/>
      <c r="F22" s="386"/>
      <c r="G22" s="213" t="s">
        <v>437</v>
      </c>
      <c r="H22" s="384"/>
      <c r="I22" s="384"/>
    </row>
    <row r="23" spans="1:9">
      <c r="A23" s="386" t="s">
        <v>420</v>
      </c>
      <c r="B23" s="386"/>
      <c r="C23" s="386"/>
      <c r="D23" s="386"/>
      <c r="E23" s="386"/>
      <c r="F23" s="386"/>
      <c r="G23" s="213" t="s">
        <v>437</v>
      </c>
      <c r="H23" s="384"/>
      <c r="I23" s="384"/>
    </row>
    <row r="24" spans="1:9">
      <c r="A24" s="386" t="s">
        <v>421</v>
      </c>
      <c r="B24" s="386"/>
      <c r="C24" s="386"/>
      <c r="D24" s="386"/>
      <c r="E24" s="386"/>
      <c r="F24" s="386"/>
      <c r="G24" s="213" t="s">
        <v>437</v>
      </c>
      <c r="H24" s="384"/>
      <c r="I24" s="384"/>
    </row>
    <row r="25" spans="1:9">
      <c r="A25" s="392" t="s">
        <v>423</v>
      </c>
      <c r="B25" s="392"/>
      <c r="C25" s="392"/>
      <c r="D25" s="392"/>
      <c r="E25" s="392"/>
      <c r="F25" s="392"/>
      <c r="G25" s="403" t="s">
        <v>437</v>
      </c>
      <c r="H25" s="384"/>
      <c r="I25" s="384"/>
    </row>
    <row r="26" spans="1:9" ht="13.5" customHeight="1">
      <c r="A26" s="392"/>
      <c r="B26" s="392"/>
      <c r="C26" s="392"/>
      <c r="D26" s="392"/>
      <c r="E26" s="392"/>
      <c r="F26" s="392"/>
      <c r="G26" s="403"/>
      <c r="H26" s="384"/>
      <c r="I26" s="384"/>
    </row>
    <row r="27" spans="1:9">
      <c r="A27" s="386" t="s">
        <v>422</v>
      </c>
      <c r="B27" s="386"/>
      <c r="C27" s="386"/>
      <c r="D27" s="386"/>
      <c r="E27" s="386"/>
      <c r="F27" s="386"/>
      <c r="G27" s="213" t="s">
        <v>437</v>
      </c>
      <c r="H27" s="384"/>
      <c r="I27" s="384"/>
    </row>
    <row r="28" spans="1:9">
      <c r="A28" s="392" t="s">
        <v>424</v>
      </c>
      <c r="B28" s="392"/>
      <c r="C28" s="392"/>
      <c r="D28" s="392"/>
      <c r="E28" s="392"/>
      <c r="F28" s="392"/>
      <c r="G28" s="403" t="s">
        <v>437</v>
      </c>
      <c r="H28" s="384"/>
      <c r="I28" s="384"/>
    </row>
    <row r="29" spans="1:9">
      <c r="A29" s="392"/>
      <c r="B29" s="392"/>
      <c r="C29" s="392"/>
      <c r="D29" s="392"/>
      <c r="E29" s="392"/>
      <c r="F29" s="392"/>
      <c r="G29" s="403"/>
      <c r="H29" s="384"/>
      <c r="I29" s="384"/>
    </row>
    <row r="30" spans="1:9" ht="26.25" customHeight="1">
      <c r="A30" s="393" t="s">
        <v>438</v>
      </c>
      <c r="B30" s="393"/>
      <c r="C30" s="393"/>
      <c r="D30" s="393"/>
      <c r="E30" s="393"/>
      <c r="F30" s="393"/>
      <c r="G30" s="213" t="s">
        <v>437</v>
      </c>
      <c r="H30" s="384"/>
      <c r="I30" s="384"/>
    </row>
    <row r="31" spans="1:9">
      <c r="A31" s="393" t="s">
        <v>425</v>
      </c>
      <c r="B31" s="393"/>
      <c r="C31" s="393"/>
      <c r="D31" s="393"/>
      <c r="E31" s="393"/>
      <c r="F31" s="393"/>
      <c r="G31" s="213" t="s">
        <v>437</v>
      </c>
      <c r="H31" s="384"/>
      <c r="I31" s="384"/>
    </row>
    <row r="32" spans="1:9">
      <c r="A32" s="393" t="s">
        <v>426</v>
      </c>
      <c r="B32" s="393"/>
      <c r="C32" s="393"/>
      <c r="D32" s="393"/>
      <c r="E32" s="393"/>
      <c r="F32" s="393"/>
      <c r="G32" s="213" t="s">
        <v>437</v>
      </c>
      <c r="H32" s="384"/>
      <c r="I32" s="384"/>
    </row>
    <row r="33" spans="1:9">
      <c r="A33" s="393" t="s">
        <v>432</v>
      </c>
      <c r="B33" s="393"/>
      <c r="C33" s="393"/>
      <c r="D33" s="393"/>
      <c r="E33" s="393"/>
      <c r="F33" s="393"/>
      <c r="G33" s="213" t="s">
        <v>437</v>
      </c>
      <c r="H33" s="384"/>
      <c r="I33" s="384"/>
    </row>
    <row r="34" spans="1:9">
      <c r="A34" s="393" t="s">
        <v>427</v>
      </c>
      <c r="B34" s="393"/>
      <c r="C34" s="393"/>
      <c r="D34" s="393"/>
      <c r="E34" s="393"/>
      <c r="F34" s="393"/>
      <c r="G34" s="213" t="s">
        <v>437</v>
      </c>
      <c r="H34" s="384"/>
      <c r="I34" s="384"/>
    </row>
    <row r="35" spans="1:9">
      <c r="A35" s="393" t="s">
        <v>428</v>
      </c>
      <c r="B35" s="393"/>
      <c r="C35" s="393"/>
      <c r="D35" s="393"/>
      <c r="E35" s="393"/>
      <c r="F35" s="393"/>
      <c r="G35" s="213" t="s">
        <v>437</v>
      </c>
      <c r="H35" s="384"/>
      <c r="I35" s="384"/>
    </row>
    <row r="36" spans="1:9">
      <c r="A36" s="393" t="s">
        <v>429</v>
      </c>
      <c r="B36" s="393"/>
      <c r="C36" s="393"/>
      <c r="D36" s="393"/>
      <c r="E36" s="393"/>
      <c r="F36" s="393"/>
      <c r="G36" s="213" t="s">
        <v>437</v>
      </c>
      <c r="H36" s="384"/>
      <c r="I36" s="384"/>
    </row>
    <row r="37" spans="1:9">
      <c r="A37" s="393" t="s">
        <v>430</v>
      </c>
      <c r="B37" s="393"/>
      <c r="C37" s="393"/>
      <c r="D37" s="393"/>
      <c r="E37" s="393"/>
      <c r="F37" s="393"/>
      <c r="G37" s="213" t="s">
        <v>437</v>
      </c>
      <c r="H37" s="384"/>
      <c r="I37" s="384"/>
    </row>
    <row r="38" spans="1:9">
      <c r="A38" s="393" t="s">
        <v>431</v>
      </c>
      <c r="B38" s="393"/>
      <c r="C38" s="393"/>
      <c r="D38" s="393"/>
      <c r="E38" s="393"/>
      <c r="F38" s="393"/>
      <c r="G38" s="213" t="s">
        <v>437</v>
      </c>
      <c r="H38" s="384"/>
      <c r="I38" s="384"/>
    </row>
    <row r="39" spans="1:9">
      <c r="A39" s="393" t="s">
        <v>304</v>
      </c>
      <c r="B39" s="393"/>
      <c r="C39" s="393"/>
      <c r="D39" s="393"/>
      <c r="E39" s="393"/>
      <c r="F39" s="393"/>
      <c r="G39" s="213" t="s">
        <v>437</v>
      </c>
      <c r="H39" s="384"/>
      <c r="I39" s="384"/>
    </row>
    <row r="40" spans="1:9">
      <c r="A40" s="393" t="s">
        <v>481</v>
      </c>
      <c r="B40" s="393"/>
      <c r="C40" s="393"/>
      <c r="D40" s="393"/>
      <c r="E40" s="393"/>
      <c r="F40" s="393"/>
      <c r="G40" s="213" t="s">
        <v>437</v>
      </c>
      <c r="H40" s="384"/>
      <c r="I40" s="384"/>
    </row>
    <row r="41" spans="1:9">
      <c r="A41" s="393" t="s">
        <v>482</v>
      </c>
      <c r="B41" s="393"/>
      <c r="C41" s="393"/>
      <c r="D41" s="393"/>
      <c r="E41" s="393"/>
      <c r="F41" s="393"/>
      <c r="G41" s="213" t="s">
        <v>437</v>
      </c>
      <c r="H41" s="384"/>
      <c r="I41" s="384"/>
    </row>
    <row r="42" spans="1:9">
      <c r="A42" s="393" t="s">
        <v>433</v>
      </c>
      <c r="B42" s="393"/>
      <c r="C42" s="393"/>
      <c r="D42" s="393"/>
      <c r="E42" s="393"/>
      <c r="F42" s="393"/>
      <c r="G42" s="213"/>
      <c r="H42" s="384"/>
      <c r="I42" s="384"/>
    </row>
    <row r="43" spans="1:9">
      <c r="A43" s="393" t="s">
        <v>1060</v>
      </c>
      <c r="B43" s="393"/>
      <c r="C43" s="393"/>
      <c r="D43" s="393"/>
      <c r="E43" s="393"/>
      <c r="F43" s="393"/>
      <c r="G43" s="213"/>
      <c r="H43" s="384"/>
      <c r="I43" s="384"/>
    </row>
    <row r="44" spans="1:9">
      <c r="A44" s="393">
        <v>2</v>
      </c>
      <c r="B44" s="393"/>
      <c r="C44" s="393"/>
      <c r="D44" s="393"/>
      <c r="E44" s="393"/>
      <c r="F44" s="393"/>
      <c r="G44" s="213"/>
      <c r="H44" s="384"/>
      <c r="I44" s="384"/>
    </row>
    <row r="45" spans="1:9" hidden="1">
      <c r="A45" s="393">
        <v>3</v>
      </c>
      <c r="B45" s="393"/>
      <c r="C45" s="393"/>
      <c r="D45" s="393"/>
      <c r="E45" s="393"/>
      <c r="F45" s="393"/>
      <c r="G45" s="213"/>
      <c r="H45" s="384"/>
      <c r="I45" s="384"/>
    </row>
    <row r="46" spans="1:9">
      <c r="A46" s="393" t="s">
        <v>434</v>
      </c>
      <c r="B46" s="393"/>
      <c r="C46" s="393"/>
      <c r="D46" s="393"/>
      <c r="E46" s="393"/>
      <c r="F46" s="393"/>
      <c r="G46" s="213" t="s">
        <v>194</v>
      </c>
      <c r="H46" s="384"/>
      <c r="I46" s="384"/>
    </row>
    <row r="47" spans="1:9" ht="29.25" customHeight="1">
      <c r="A47" s="393" t="s">
        <v>863</v>
      </c>
      <c r="B47" s="393"/>
      <c r="C47" s="393"/>
      <c r="D47" s="393"/>
      <c r="E47" s="393"/>
      <c r="F47" s="393"/>
      <c r="G47" s="213" t="s">
        <v>510</v>
      </c>
      <c r="H47" s="384"/>
      <c r="I47" s="384"/>
    </row>
    <row r="48" spans="1:9" ht="29.25" customHeight="1">
      <c r="A48" s="393" t="s">
        <v>511</v>
      </c>
      <c r="B48" s="393"/>
      <c r="C48" s="393"/>
      <c r="D48" s="393"/>
      <c r="E48" s="393"/>
      <c r="F48" s="393"/>
      <c r="G48" s="213" t="s">
        <v>512</v>
      </c>
      <c r="H48" s="384"/>
      <c r="I48" s="384"/>
    </row>
    <row r="49" spans="1:9" ht="16.5" customHeight="1">
      <c r="A49" s="393" t="s">
        <v>1062</v>
      </c>
      <c r="B49" s="393"/>
      <c r="C49" s="393"/>
      <c r="D49" s="393"/>
      <c r="E49" s="393"/>
      <c r="F49" s="393"/>
      <c r="G49" s="403" t="s">
        <v>195</v>
      </c>
      <c r="H49" s="384"/>
      <c r="I49" s="384"/>
    </row>
    <row r="50" spans="1:9" ht="28.5" customHeight="1">
      <c r="A50" s="393" t="s">
        <v>1063</v>
      </c>
      <c r="B50" s="393"/>
      <c r="C50" s="393"/>
      <c r="D50" s="393"/>
      <c r="E50" s="393"/>
      <c r="F50" s="393"/>
      <c r="G50" s="403"/>
      <c r="H50" s="384"/>
      <c r="I50" s="384"/>
    </row>
    <row r="51" spans="1:9" ht="38.25" customHeight="1">
      <c r="A51" s="393" t="s">
        <v>1064</v>
      </c>
      <c r="B51" s="393"/>
      <c r="C51" s="393"/>
      <c r="D51" s="393"/>
      <c r="E51" s="393"/>
      <c r="F51" s="393"/>
      <c r="G51" s="213" t="s">
        <v>198</v>
      </c>
      <c r="H51" s="384"/>
      <c r="I51" s="384"/>
    </row>
    <row r="52" spans="1:9" ht="39" customHeight="1">
      <c r="A52" s="393" t="s">
        <v>1065</v>
      </c>
      <c r="B52" s="393"/>
      <c r="C52" s="393"/>
      <c r="D52" s="393"/>
      <c r="E52" s="393"/>
      <c r="F52" s="393"/>
      <c r="G52" s="213" t="s">
        <v>439</v>
      </c>
      <c r="H52" s="384"/>
      <c r="I52" s="384"/>
    </row>
    <row r="53" spans="1:9" ht="30" customHeight="1">
      <c r="A53" s="393" t="s">
        <v>864</v>
      </c>
      <c r="B53" s="393"/>
      <c r="C53" s="393"/>
      <c r="D53" s="393"/>
      <c r="E53" s="393"/>
      <c r="F53" s="393"/>
      <c r="G53" s="213" t="s">
        <v>355</v>
      </c>
      <c r="H53" s="384"/>
      <c r="I53" s="384"/>
    </row>
    <row r="54" spans="1:9" ht="30" customHeight="1">
      <c r="A54" s="393" t="s">
        <v>1102</v>
      </c>
      <c r="B54" s="393"/>
      <c r="C54" s="393"/>
      <c r="D54" s="393"/>
      <c r="E54" s="393"/>
      <c r="F54" s="393"/>
      <c r="G54" s="334" t="s">
        <v>1100</v>
      </c>
      <c r="H54" s="384"/>
      <c r="I54" s="384"/>
    </row>
    <row r="55" spans="1:9" ht="30" customHeight="1">
      <c r="A55" s="393" t="s">
        <v>1103</v>
      </c>
      <c r="B55" s="393"/>
      <c r="C55" s="393"/>
      <c r="D55" s="393"/>
      <c r="E55" s="393"/>
      <c r="F55" s="393"/>
      <c r="G55" s="334" t="s">
        <v>1101</v>
      </c>
      <c r="H55" s="384"/>
      <c r="I55" s="384"/>
    </row>
    <row r="56" spans="1:9" ht="27.75" customHeight="1">
      <c r="A56" s="393" t="s">
        <v>435</v>
      </c>
      <c r="B56" s="393"/>
      <c r="C56" s="393"/>
      <c r="D56" s="393"/>
      <c r="E56" s="393"/>
      <c r="F56" s="393"/>
      <c r="G56" s="213" t="s">
        <v>290</v>
      </c>
      <c r="H56" s="384"/>
      <c r="I56" s="384"/>
    </row>
    <row r="57" spans="1:9">
      <c r="A57" s="393" t="s">
        <v>1099</v>
      </c>
      <c r="B57" s="393"/>
      <c r="C57" s="393"/>
      <c r="D57" s="393"/>
      <c r="E57" s="393"/>
      <c r="F57" s="393"/>
      <c r="G57" s="213" t="s">
        <v>197</v>
      </c>
      <c r="H57" s="384"/>
      <c r="I57" s="384"/>
    </row>
    <row r="58" spans="1:9" ht="26.25" customHeight="1">
      <c r="A58" s="393" t="s">
        <v>436</v>
      </c>
      <c r="B58" s="393"/>
      <c r="C58" s="393"/>
      <c r="D58" s="393"/>
      <c r="E58" s="393"/>
      <c r="F58" s="393"/>
      <c r="G58" s="213" t="s">
        <v>201</v>
      </c>
      <c r="H58" s="384"/>
      <c r="I58" s="384"/>
    </row>
    <row r="59" spans="1:9" ht="39" customHeight="1">
      <c r="A59" s="393" t="s">
        <v>1066</v>
      </c>
      <c r="B59" s="393"/>
      <c r="C59" s="393"/>
      <c r="D59" s="393"/>
      <c r="E59" s="393"/>
      <c r="F59" s="393"/>
      <c r="G59" s="213">
        <v>24</v>
      </c>
      <c r="H59" s="384"/>
      <c r="I59" s="384"/>
    </row>
    <row r="60" spans="1:9" hidden="1">
      <c r="A60" s="405"/>
      <c r="B60" s="406"/>
      <c r="C60" s="406"/>
      <c r="D60" s="406"/>
      <c r="E60" s="406"/>
      <c r="F60" s="406"/>
      <c r="G60" s="406"/>
      <c r="H60" s="406"/>
      <c r="I60" s="407"/>
    </row>
    <row r="61" spans="1:9">
      <c r="A61" s="408"/>
      <c r="B61" s="409"/>
      <c r="C61" s="409"/>
      <c r="D61" s="409"/>
      <c r="E61" s="409"/>
      <c r="F61" s="409"/>
      <c r="G61" s="409"/>
      <c r="H61" s="409"/>
      <c r="I61" s="410"/>
    </row>
    <row r="62" spans="1:9" ht="27" customHeight="1">
      <c r="A62" s="411" t="s">
        <v>440</v>
      </c>
      <c r="B62" s="411"/>
      <c r="C62" s="411"/>
      <c r="D62" s="411"/>
      <c r="E62" s="411"/>
      <c r="F62" s="411"/>
      <c r="G62" s="411"/>
      <c r="H62" s="411"/>
      <c r="I62" s="411"/>
    </row>
    <row r="64" spans="1:9" s="204" customFormat="1" ht="36" customHeight="1">
      <c r="C64" s="214" t="s">
        <v>89</v>
      </c>
      <c r="D64" s="399" t="s">
        <v>441</v>
      </c>
      <c r="E64" s="399"/>
      <c r="F64" s="214" t="s">
        <v>443</v>
      </c>
      <c r="G64" s="214" t="s">
        <v>442</v>
      </c>
      <c r="H64" s="214" t="s">
        <v>445</v>
      </c>
    </row>
    <row r="65" spans="1:9">
      <c r="C65" s="216">
        <v>1</v>
      </c>
      <c r="D65" s="400"/>
      <c r="E65" s="400"/>
      <c r="F65" s="202"/>
      <c r="G65" s="206"/>
      <c r="H65" s="215" t="s">
        <v>861</v>
      </c>
    </row>
    <row r="66" spans="1:9">
      <c r="C66" s="216">
        <v>2</v>
      </c>
      <c r="D66" s="400"/>
      <c r="E66" s="400"/>
      <c r="F66" s="202"/>
      <c r="G66" s="206"/>
      <c r="H66" s="215" t="s">
        <v>861</v>
      </c>
    </row>
    <row r="67" spans="1:9">
      <c r="C67" s="216">
        <v>3</v>
      </c>
      <c r="D67" s="400"/>
      <c r="E67" s="400"/>
      <c r="F67" s="202"/>
      <c r="G67" s="206"/>
      <c r="H67" s="215" t="s">
        <v>861</v>
      </c>
    </row>
    <row r="68" spans="1:9">
      <c r="C68" s="216">
        <v>4</v>
      </c>
      <c r="D68" s="400"/>
      <c r="E68" s="400"/>
      <c r="F68" s="202"/>
      <c r="G68" s="206"/>
      <c r="H68" s="215" t="s">
        <v>861</v>
      </c>
    </row>
    <row r="69" spans="1:9">
      <c r="C69" s="216">
        <v>5</v>
      </c>
      <c r="D69" s="400"/>
      <c r="E69" s="400"/>
      <c r="F69" s="202"/>
      <c r="G69" s="206"/>
      <c r="H69" s="215" t="s">
        <v>861</v>
      </c>
    </row>
    <row r="70" spans="1:9">
      <c r="C70" s="216">
        <v>6</v>
      </c>
      <c r="D70" s="400"/>
      <c r="E70" s="400"/>
      <c r="F70" s="202"/>
      <c r="G70" s="206"/>
      <c r="H70" s="215" t="s">
        <v>861</v>
      </c>
    </row>
    <row r="71" spans="1:9">
      <c r="C71" s="216">
        <v>7</v>
      </c>
      <c r="D71" s="400"/>
      <c r="E71" s="400"/>
      <c r="F71" s="202"/>
      <c r="G71" s="206"/>
      <c r="H71" s="215" t="s">
        <v>861</v>
      </c>
    </row>
    <row r="72" spans="1:9">
      <c r="C72" s="216">
        <v>8</v>
      </c>
      <c r="D72" s="400"/>
      <c r="E72" s="400"/>
      <c r="F72" s="202"/>
      <c r="G72" s="206"/>
      <c r="H72" s="215" t="s">
        <v>861</v>
      </c>
    </row>
    <row r="73" spans="1:9">
      <c r="C73" s="216">
        <v>9</v>
      </c>
      <c r="D73" s="400"/>
      <c r="E73" s="400"/>
      <c r="F73" s="202"/>
      <c r="G73" s="206"/>
      <c r="H73" s="215" t="s">
        <v>861</v>
      </c>
    </row>
    <row r="74" spans="1:9">
      <c r="C74" s="216">
        <v>10</v>
      </c>
      <c r="D74" s="400"/>
      <c r="E74" s="400"/>
      <c r="F74" s="202"/>
      <c r="G74" s="206"/>
      <c r="H74" s="215" t="s">
        <v>861</v>
      </c>
    </row>
    <row r="75" spans="1:9">
      <c r="C75" s="205"/>
      <c r="D75" s="412" t="s">
        <v>26</v>
      </c>
      <c r="E75" s="412"/>
      <c r="F75" s="205"/>
      <c r="G75" s="203"/>
      <c r="H75" s="205"/>
    </row>
    <row r="77" spans="1:9">
      <c r="A77" s="374" t="s">
        <v>446</v>
      </c>
      <c r="B77" s="374"/>
      <c r="C77" s="374"/>
      <c r="D77" s="374"/>
      <c r="E77" s="374"/>
      <c r="F77" s="374"/>
      <c r="G77" s="374"/>
      <c r="H77" s="374"/>
      <c r="I77" s="374"/>
    </row>
    <row r="79" spans="1:9" ht="39" customHeight="1">
      <c r="A79" s="207" t="s">
        <v>89</v>
      </c>
      <c r="B79" s="404" t="s">
        <v>444</v>
      </c>
      <c r="C79" s="404"/>
      <c r="D79" s="404" t="s">
        <v>411</v>
      </c>
      <c r="E79" s="404"/>
      <c r="F79" s="380" t="s">
        <v>862</v>
      </c>
      <c r="G79" s="380"/>
      <c r="H79" s="404" t="s">
        <v>445</v>
      </c>
      <c r="I79" s="404"/>
    </row>
    <row r="80" spans="1:9">
      <c r="A80" s="205">
        <v>1</v>
      </c>
      <c r="B80" s="386" t="s">
        <v>867</v>
      </c>
      <c r="C80" s="386"/>
      <c r="D80" s="397"/>
      <c r="E80" s="397"/>
      <c r="F80" s="401"/>
      <c r="G80" s="401"/>
      <c r="H80" s="397"/>
      <c r="I80" s="397"/>
    </row>
    <row r="81" spans="1:9">
      <c r="A81" s="205">
        <v>2</v>
      </c>
      <c r="B81" s="386" t="s">
        <v>866</v>
      </c>
      <c r="C81" s="386"/>
      <c r="D81" s="397"/>
      <c r="E81" s="397"/>
      <c r="F81" s="401"/>
      <c r="G81" s="401"/>
      <c r="H81" s="397"/>
      <c r="I81" s="397"/>
    </row>
    <row r="82" spans="1:9">
      <c r="A82" s="205">
        <v>3</v>
      </c>
      <c r="B82" s="386" t="s">
        <v>37</v>
      </c>
      <c r="C82" s="386"/>
      <c r="D82" s="397"/>
      <c r="E82" s="397"/>
      <c r="F82" s="401"/>
      <c r="G82" s="401"/>
      <c r="H82" s="397"/>
      <c r="I82" s="397"/>
    </row>
    <row r="83" spans="1:9">
      <c r="A83" s="205">
        <v>4</v>
      </c>
      <c r="B83" s="386" t="s">
        <v>873</v>
      </c>
      <c r="C83" s="386"/>
      <c r="D83" s="397"/>
      <c r="E83" s="397"/>
      <c r="F83" s="401"/>
      <c r="G83" s="401"/>
      <c r="H83" s="397"/>
      <c r="I83" s="397"/>
    </row>
    <row r="84" spans="1:9">
      <c r="A84" s="205">
        <v>5</v>
      </c>
      <c r="B84" s="386" t="s">
        <v>874</v>
      </c>
      <c r="C84" s="386"/>
      <c r="D84" s="397"/>
      <c r="E84" s="397"/>
      <c r="F84" s="401"/>
      <c r="G84" s="401"/>
      <c r="H84" s="397"/>
      <c r="I84" s="397"/>
    </row>
    <row r="85" spans="1:9">
      <c r="A85" s="205">
        <v>6</v>
      </c>
      <c r="B85" s="386" t="s">
        <v>1061</v>
      </c>
      <c r="C85" s="386"/>
      <c r="D85" s="397"/>
      <c r="E85" s="397"/>
      <c r="F85" s="401"/>
      <c r="G85" s="401"/>
      <c r="H85" s="397"/>
      <c r="I85" s="397"/>
    </row>
    <row r="86" spans="1:9">
      <c r="A86" s="402" t="s">
        <v>456</v>
      </c>
      <c r="B86" s="402"/>
      <c r="C86" s="402"/>
      <c r="D86" s="402"/>
      <c r="E86" s="402"/>
      <c r="F86" s="402"/>
      <c r="G86" s="402"/>
      <c r="H86" s="402"/>
      <c r="I86" s="402"/>
    </row>
    <row r="87" spans="1:9" s="210" customFormat="1" ht="21">
      <c r="A87" s="208" t="s">
        <v>89</v>
      </c>
      <c r="B87" s="417" t="s">
        <v>457</v>
      </c>
      <c r="C87" s="417"/>
      <c r="D87" s="208" t="s">
        <v>458</v>
      </c>
      <c r="E87" s="209" t="s">
        <v>459</v>
      </c>
      <c r="F87" s="208" t="s">
        <v>460</v>
      </c>
      <c r="G87" s="208" t="s">
        <v>461</v>
      </c>
      <c r="H87" s="417" t="s">
        <v>462</v>
      </c>
      <c r="I87" s="417"/>
    </row>
    <row r="88" spans="1:9">
      <c r="A88" s="205">
        <v>1</v>
      </c>
      <c r="B88" s="400"/>
      <c r="C88" s="400"/>
      <c r="D88" s="211"/>
      <c r="E88" s="211"/>
      <c r="F88" s="217"/>
      <c r="G88" s="217"/>
      <c r="H88" s="400"/>
      <c r="I88" s="400"/>
    </row>
    <row r="89" spans="1:9">
      <c r="A89" s="205">
        <v>2</v>
      </c>
      <c r="B89" s="400"/>
      <c r="C89" s="400"/>
      <c r="D89" s="211"/>
      <c r="E89" s="211"/>
      <c r="F89" s="217"/>
      <c r="G89" s="217"/>
      <c r="H89" s="400"/>
      <c r="I89" s="400"/>
    </row>
    <row r="90" spans="1:9">
      <c r="A90" s="205">
        <v>3</v>
      </c>
      <c r="B90" s="400"/>
      <c r="C90" s="400"/>
      <c r="D90" s="211"/>
      <c r="E90" s="211"/>
      <c r="F90" s="217"/>
      <c r="G90" s="217"/>
      <c r="H90" s="400"/>
      <c r="I90" s="400"/>
    </row>
    <row r="91" spans="1:9">
      <c r="A91" s="205">
        <v>4</v>
      </c>
      <c r="B91" s="400"/>
      <c r="C91" s="400"/>
      <c r="D91" s="211"/>
      <c r="E91" s="211"/>
      <c r="F91" s="217"/>
      <c r="G91" s="217"/>
      <c r="H91" s="400"/>
      <c r="I91" s="400"/>
    </row>
    <row r="92" spans="1:9">
      <c r="A92" s="205">
        <v>5</v>
      </c>
      <c r="B92" s="400"/>
      <c r="C92" s="400"/>
      <c r="D92" s="211"/>
      <c r="E92" s="211"/>
      <c r="F92" s="217"/>
      <c r="G92" s="217"/>
      <c r="H92" s="400"/>
      <c r="I92" s="400"/>
    </row>
    <row r="93" spans="1:9">
      <c r="A93" s="205">
        <v>6</v>
      </c>
      <c r="B93" s="400"/>
      <c r="C93" s="400"/>
      <c r="D93" s="211"/>
      <c r="E93" s="211"/>
      <c r="F93" s="217"/>
      <c r="G93" s="217"/>
      <c r="H93" s="400"/>
      <c r="I93" s="400"/>
    </row>
    <row r="94" spans="1:9" ht="58.5" customHeight="1">
      <c r="A94" s="415" t="s">
        <v>1098</v>
      </c>
      <c r="B94" s="415"/>
      <c r="C94" s="415"/>
      <c r="D94" s="415"/>
      <c r="E94" s="415"/>
      <c r="F94" s="415"/>
      <c r="G94" s="415"/>
      <c r="H94" s="415"/>
      <c r="I94" s="415"/>
    </row>
    <row r="95" spans="1:9">
      <c r="A95" s="413"/>
      <c r="B95" s="413"/>
      <c r="C95" s="413"/>
      <c r="D95" s="413"/>
      <c r="E95" s="413"/>
      <c r="F95" s="413"/>
      <c r="G95" s="413"/>
      <c r="H95" s="413"/>
      <c r="I95" s="413"/>
    </row>
    <row r="96" spans="1:9" ht="60.75" customHeight="1">
      <c r="A96" s="416" t="s">
        <v>1142</v>
      </c>
      <c r="B96" s="416"/>
      <c r="C96" s="416"/>
      <c r="D96" s="416"/>
      <c r="E96" s="416"/>
      <c r="F96" s="416"/>
      <c r="G96" s="416"/>
      <c r="H96" s="416"/>
      <c r="I96" s="416"/>
    </row>
    <row r="97" spans="1:9">
      <c r="A97" s="413"/>
      <c r="B97" s="413"/>
      <c r="C97" s="413"/>
      <c r="D97" s="413"/>
      <c r="E97" s="413"/>
      <c r="F97" s="413"/>
      <c r="G97" s="413"/>
      <c r="H97" s="413"/>
      <c r="I97" s="413"/>
    </row>
    <row r="98" spans="1:9">
      <c r="A98" s="413" t="s">
        <v>448</v>
      </c>
      <c r="B98" s="413"/>
      <c r="C98" s="413"/>
      <c r="D98" s="413"/>
      <c r="E98" s="413"/>
      <c r="F98" s="413"/>
      <c r="G98" s="413"/>
      <c r="H98" s="413"/>
      <c r="I98" s="413"/>
    </row>
    <row r="99" spans="1:9">
      <c r="A99" s="413"/>
      <c r="B99" s="413"/>
      <c r="C99" s="413"/>
      <c r="D99" s="413"/>
      <c r="E99" s="413"/>
      <c r="F99" s="413"/>
      <c r="G99" s="413"/>
      <c r="H99" s="413"/>
      <c r="I99" s="413"/>
    </row>
    <row r="100" spans="1:9">
      <c r="A100" s="413"/>
      <c r="B100" s="413"/>
      <c r="C100" s="413"/>
      <c r="D100" s="413"/>
      <c r="E100" s="413"/>
      <c r="F100" s="413"/>
      <c r="G100" s="413"/>
      <c r="H100" s="413"/>
      <c r="I100" s="413"/>
    </row>
    <row r="101" spans="1:9">
      <c r="A101" s="414" t="s">
        <v>449</v>
      </c>
      <c r="B101" s="414"/>
      <c r="C101" s="414"/>
      <c r="D101" s="414"/>
      <c r="E101" s="414"/>
      <c r="F101" s="414"/>
      <c r="G101" s="414"/>
      <c r="H101" s="414"/>
      <c r="I101" s="414"/>
    </row>
    <row r="102" spans="1:9">
      <c r="A102" s="398" t="str">
        <f>"Name: " &amp; C3</f>
        <v xml:space="preserve">Name: </v>
      </c>
      <c r="B102" s="398"/>
      <c r="C102" s="398"/>
      <c r="D102" s="398"/>
      <c r="E102" s="398"/>
      <c r="F102" s="398"/>
      <c r="G102" s="398"/>
      <c r="H102" s="398"/>
      <c r="I102" s="398"/>
    </row>
    <row r="103" spans="1:9" ht="13.5" thickBot="1">
      <c r="A103" s="398" t="str">
        <f>"Designation: " &amp; C4</f>
        <v xml:space="preserve">Designation: </v>
      </c>
      <c r="B103" s="398"/>
      <c r="C103" s="398"/>
      <c r="D103" s="398"/>
      <c r="E103" s="398"/>
      <c r="F103" s="398"/>
      <c r="G103" s="398"/>
      <c r="H103" s="398"/>
      <c r="I103" s="398"/>
    </row>
    <row r="104" spans="1:9" ht="13.5" thickBot="1">
      <c r="A104" s="394" t="s">
        <v>450</v>
      </c>
      <c r="B104" s="395"/>
      <c r="C104" s="395"/>
      <c r="D104" s="395"/>
      <c r="E104" s="395"/>
      <c r="F104" s="395"/>
      <c r="G104" s="395"/>
      <c r="H104" s="395"/>
      <c r="I104" s="396"/>
    </row>
    <row r="105" spans="1:9" ht="13.5" thickBot="1"/>
    <row r="106" spans="1:9" ht="13.5" thickBot="1">
      <c r="A106" s="374" t="s">
        <v>451</v>
      </c>
      <c r="B106" s="374"/>
      <c r="C106" s="390"/>
      <c r="D106" s="391"/>
      <c r="F106" s="374" t="s">
        <v>452</v>
      </c>
      <c r="G106" s="374"/>
      <c r="H106" s="388"/>
      <c r="I106" s="389"/>
    </row>
    <row r="107" spans="1:9">
      <c r="A107" s="398" t="s">
        <v>453</v>
      </c>
      <c r="B107" s="398"/>
      <c r="C107" s="390"/>
      <c r="D107" s="391"/>
    </row>
    <row r="108" spans="1:9">
      <c r="A108" s="398"/>
      <c r="B108" s="398"/>
      <c r="C108" s="390"/>
      <c r="D108" s="391"/>
    </row>
    <row r="109" spans="1:9">
      <c r="F109" s="374" t="s">
        <v>454</v>
      </c>
      <c r="G109" s="374"/>
      <c r="H109" s="374"/>
      <c r="I109" s="374"/>
    </row>
    <row r="112" spans="1:9">
      <c r="F112" s="374" t="s">
        <v>455</v>
      </c>
      <c r="G112" s="374"/>
      <c r="H112" s="374"/>
      <c r="I112" s="374"/>
    </row>
  </sheetData>
  <customSheetViews>
    <customSheetView guid="{BC7AD179-3218-4244-A3F6-4056F6A573C9}">
      <selection activeCell="A95" sqref="A95:I95"/>
      <pageMargins left="0.74803149606299213" right="0.74803149606299213" top="0.39370078740157483" bottom="0.39370078740157483" header="0.51181102362204722" footer="0.51181102362204722"/>
      <pageSetup paperSize="5" orientation="portrait" r:id="rId1"/>
      <headerFooter alignWithMargins="0">
        <oddHeader>&amp;C&amp;P</oddHeader>
      </headerFooter>
    </customSheetView>
  </customSheetViews>
  <mergeCells count="185">
    <mergeCell ref="A55:F55"/>
    <mergeCell ref="H54:I54"/>
    <mergeCell ref="H55:I55"/>
    <mergeCell ref="A103:I103"/>
    <mergeCell ref="A102:I102"/>
    <mergeCell ref="A98:I98"/>
    <mergeCell ref="A97:I97"/>
    <mergeCell ref="B89:C89"/>
    <mergeCell ref="H89:I89"/>
    <mergeCell ref="A101:I101"/>
    <mergeCell ref="A94:I94"/>
    <mergeCell ref="A95:I95"/>
    <mergeCell ref="A99:I99"/>
    <mergeCell ref="A100:I100"/>
    <mergeCell ref="B93:C93"/>
    <mergeCell ref="A96:I96"/>
    <mergeCell ref="B87:C87"/>
    <mergeCell ref="B88:C88"/>
    <mergeCell ref="H87:I87"/>
    <mergeCell ref="H93:I93"/>
    <mergeCell ref="H83:I83"/>
    <mergeCell ref="F84:G84"/>
    <mergeCell ref="B91:C91"/>
    <mergeCell ref="H91:I91"/>
    <mergeCell ref="B92:C92"/>
    <mergeCell ref="H92:I92"/>
    <mergeCell ref="D85:E85"/>
    <mergeCell ref="B90:C90"/>
    <mergeCell ref="H90:I90"/>
    <mergeCell ref="F85:G85"/>
    <mergeCell ref="H85:I85"/>
    <mergeCell ref="B84:C84"/>
    <mergeCell ref="D84:E84"/>
    <mergeCell ref="H80:I80"/>
    <mergeCell ref="H43:I43"/>
    <mergeCell ref="D73:E73"/>
    <mergeCell ref="F79:G79"/>
    <mergeCell ref="D66:E66"/>
    <mergeCell ref="D72:E72"/>
    <mergeCell ref="D80:E80"/>
    <mergeCell ref="B81:C81"/>
    <mergeCell ref="B82:C82"/>
    <mergeCell ref="D82:E82"/>
    <mergeCell ref="D79:E79"/>
    <mergeCell ref="F82:G82"/>
    <mergeCell ref="F80:G80"/>
    <mergeCell ref="B80:C80"/>
    <mergeCell ref="H56:I56"/>
    <mergeCell ref="H51:I51"/>
    <mergeCell ref="A50:F50"/>
    <mergeCell ref="H50:I50"/>
    <mergeCell ref="G49:G50"/>
    <mergeCell ref="A62:I62"/>
    <mergeCell ref="F81:G81"/>
    <mergeCell ref="D75:E75"/>
    <mergeCell ref="D81:E81"/>
    <mergeCell ref="A54:F54"/>
    <mergeCell ref="G25:G26"/>
    <mergeCell ref="G28:G29"/>
    <mergeCell ref="A27:F27"/>
    <mergeCell ref="A30:F30"/>
    <mergeCell ref="H31:I31"/>
    <mergeCell ref="H25:I26"/>
    <mergeCell ref="H28:I29"/>
    <mergeCell ref="A56:F56"/>
    <mergeCell ref="F112:I112"/>
    <mergeCell ref="D67:E67"/>
    <mergeCell ref="D71:E71"/>
    <mergeCell ref="B79:C79"/>
    <mergeCell ref="D74:E74"/>
    <mergeCell ref="A60:I60"/>
    <mergeCell ref="A61:I61"/>
    <mergeCell ref="D68:E68"/>
    <mergeCell ref="D69:E69"/>
    <mergeCell ref="H79:I79"/>
    <mergeCell ref="F109:I109"/>
    <mergeCell ref="A49:F49"/>
    <mergeCell ref="H49:I49"/>
    <mergeCell ref="D65:E65"/>
    <mergeCell ref="H57:I57"/>
    <mergeCell ref="A57:F57"/>
    <mergeCell ref="A22:F22"/>
    <mergeCell ref="H37:I37"/>
    <mergeCell ref="A38:F38"/>
    <mergeCell ref="A48:F48"/>
    <mergeCell ref="H48:I48"/>
    <mergeCell ref="H45:I45"/>
    <mergeCell ref="A25:F26"/>
    <mergeCell ref="H35:I35"/>
    <mergeCell ref="H46:I46"/>
    <mergeCell ref="A47:F47"/>
    <mergeCell ref="A46:F46"/>
    <mergeCell ref="H22:I22"/>
    <mergeCell ref="H27:I27"/>
    <mergeCell ref="A24:F24"/>
    <mergeCell ref="A32:F32"/>
    <mergeCell ref="H32:I32"/>
    <mergeCell ref="A33:F33"/>
    <mergeCell ref="H33:I33"/>
    <mergeCell ref="A42:F42"/>
    <mergeCell ref="A34:F34"/>
    <mergeCell ref="A35:F35"/>
    <mergeCell ref="H47:I47"/>
    <mergeCell ref="A44:F44"/>
    <mergeCell ref="H44:I44"/>
    <mergeCell ref="A107:B108"/>
    <mergeCell ref="C107:D108"/>
    <mergeCell ref="A23:F23"/>
    <mergeCell ref="H23:I23"/>
    <mergeCell ref="H24:I24"/>
    <mergeCell ref="A37:F37"/>
    <mergeCell ref="H52:I52"/>
    <mergeCell ref="A53:F53"/>
    <mergeCell ref="H53:I53"/>
    <mergeCell ref="D64:E64"/>
    <mergeCell ref="D70:E70"/>
    <mergeCell ref="B83:C83"/>
    <mergeCell ref="F83:G83"/>
    <mergeCell ref="H88:I88"/>
    <mergeCell ref="A86:I86"/>
    <mergeCell ref="H84:I84"/>
    <mergeCell ref="B85:C85"/>
    <mergeCell ref="A77:I77"/>
    <mergeCell ref="H81:I81"/>
    <mergeCell ref="D83:E83"/>
    <mergeCell ref="A39:F39"/>
    <mergeCell ref="A36:F36"/>
    <mergeCell ref="H30:I30"/>
    <mergeCell ref="A52:F52"/>
    <mergeCell ref="A106:B106"/>
    <mergeCell ref="F106:G106"/>
    <mergeCell ref="H106:I106"/>
    <mergeCell ref="C106:D106"/>
    <mergeCell ref="H36:I36"/>
    <mergeCell ref="H38:I38"/>
    <mergeCell ref="A28:F29"/>
    <mergeCell ref="A51:F51"/>
    <mergeCell ref="H39:I39"/>
    <mergeCell ref="A40:F40"/>
    <mergeCell ref="A41:F41"/>
    <mergeCell ref="H40:I40"/>
    <mergeCell ref="H41:I41"/>
    <mergeCell ref="A43:F43"/>
    <mergeCell ref="H34:I34"/>
    <mergeCell ref="A104:I104"/>
    <mergeCell ref="A58:F58"/>
    <mergeCell ref="H58:I58"/>
    <mergeCell ref="A59:F59"/>
    <mergeCell ref="H59:I59"/>
    <mergeCell ref="A31:F31"/>
    <mergeCell ref="A45:F45"/>
    <mergeCell ref="H42:I42"/>
    <mergeCell ref="H82:I82"/>
    <mergeCell ref="H20:I20"/>
    <mergeCell ref="A16:I16"/>
    <mergeCell ref="H18:I18"/>
    <mergeCell ref="A19:E19"/>
    <mergeCell ref="A15:I15"/>
    <mergeCell ref="H19:I19"/>
    <mergeCell ref="A20:F20"/>
    <mergeCell ref="A21:F21"/>
    <mergeCell ref="H21:I21"/>
    <mergeCell ref="A6:B6"/>
    <mergeCell ref="H8:I8"/>
    <mergeCell ref="H6:I6"/>
    <mergeCell ref="C5:E5"/>
    <mergeCell ref="C6:E6"/>
    <mergeCell ref="F4:G4"/>
    <mergeCell ref="F5:G5"/>
    <mergeCell ref="F6:G6"/>
    <mergeCell ref="A18:E18"/>
    <mergeCell ref="A12:C12"/>
    <mergeCell ref="A10:D10"/>
    <mergeCell ref="A11:D11"/>
    <mergeCell ref="A13:I13"/>
    <mergeCell ref="A1:I1"/>
    <mergeCell ref="A3:B3"/>
    <mergeCell ref="A4:B4"/>
    <mergeCell ref="A5:B5"/>
    <mergeCell ref="C3:E3"/>
    <mergeCell ref="H3:I3"/>
    <mergeCell ref="H4:I4"/>
    <mergeCell ref="H5:I5"/>
    <mergeCell ref="F3:G3"/>
    <mergeCell ref="C4:E4"/>
  </mergeCells>
  <phoneticPr fontId="0" type="noConversion"/>
  <dataValidations count="1">
    <dataValidation operator="equal" allowBlank="1" showInputMessage="1" showErrorMessage="1" sqref="F80:G80"/>
  </dataValidations>
  <pageMargins left="0.74803149606299202" right="0.74803149606299202" top="0.39370078740157499" bottom="0.39370078740157499" header="0.511811023622047" footer="0.511811023622047"/>
  <pageSetup paperSize="9" scale="80" orientation="portrait" blackAndWhite="1" r:id="rId2"/>
  <headerFooter alignWithMargins="0">
    <oddHeader>&amp;C&amp;P</oddHeader>
  </headerFooter>
  <legacyDrawing r:id="rId3"/>
</worksheet>
</file>

<file path=xl/worksheets/sheet4.xml><?xml version="1.0" encoding="utf-8"?>
<worksheet xmlns="http://schemas.openxmlformats.org/spreadsheetml/2006/main" xmlns:r="http://schemas.openxmlformats.org/officeDocument/2006/relationships">
  <sheetPr codeName="Sheet9">
    <tabColor rgb="FFFF0000"/>
  </sheetPr>
  <dimension ref="A1:I49"/>
  <sheetViews>
    <sheetView workbookViewId="0">
      <selection activeCell="H33" sqref="H33:I33"/>
    </sheetView>
  </sheetViews>
  <sheetFormatPr defaultRowHeight="16.5"/>
  <cols>
    <col min="1" max="1" width="9.140625" style="293"/>
    <col min="2" max="2" width="10.42578125" style="293" bestFit="1" customWidth="1"/>
    <col min="3" max="16384" width="9.140625" style="293"/>
  </cols>
  <sheetData>
    <row r="1" spans="1:9" ht="16.5" customHeight="1">
      <c r="A1" s="457" t="s">
        <v>995</v>
      </c>
      <c r="B1" s="457"/>
      <c r="C1" s="457"/>
      <c r="D1" s="457"/>
      <c r="E1" s="457"/>
      <c r="F1" s="457"/>
      <c r="G1" s="457"/>
      <c r="H1" s="457"/>
      <c r="I1" s="457"/>
    </row>
    <row r="2" spans="1:9" s="294" customFormat="1" ht="65.25" customHeight="1">
      <c r="A2" s="458" t="s">
        <v>1116</v>
      </c>
      <c r="B2" s="458"/>
      <c r="C2" s="458"/>
      <c r="D2" s="458"/>
      <c r="E2" s="458"/>
      <c r="F2" s="458"/>
      <c r="G2" s="458"/>
      <c r="H2" s="458"/>
      <c r="I2" s="458"/>
    </row>
    <row r="4" spans="1:9" ht="16.5" customHeight="1">
      <c r="A4" s="453">
        <v>1</v>
      </c>
      <c r="B4" s="459" t="s">
        <v>996</v>
      </c>
      <c r="C4" s="459"/>
      <c r="D4" s="459"/>
      <c r="E4" s="459"/>
      <c r="F4" s="460">
        <f>'Data Sheet'!F7</f>
        <v>0</v>
      </c>
      <c r="G4" s="460"/>
      <c r="H4" s="460"/>
      <c r="I4" s="460"/>
    </row>
    <row r="5" spans="1:9">
      <c r="A5" s="453"/>
      <c r="B5" s="459"/>
      <c r="C5" s="459"/>
      <c r="D5" s="459"/>
      <c r="E5" s="459"/>
      <c r="F5" s="444" t="str">
        <f>('Data Sheet'!F14)&amp;"  " &amp; ('Data Sheet'!F15)</f>
        <v xml:space="preserve">  </v>
      </c>
      <c r="G5" s="444"/>
      <c r="H5" s="444"/>
      <c r="I5" s="444"/>
    </row>
    <row r="6" spans="1:9">
      <c r="A6" s="453"/>
      <c r="B6" s="459"/>
      <c r="C6" s="459"/>
      <c r="D6" s="459"/>
      <c r="E6" s="459"/>
      <c r="F6" s="444"/>
      <c r="G6" s="444"/>
      <c r="H6" s="444"/>
      <c r="I6" s="444"/>
    </row>
    <row r="7" spans="1:9">
      <c r="A7" s="453">
        <v>2</v>
      </c>
      <c r="B7" s="443" t="s">
        <v>997</v>
      </c>
      <c r="C7" s="444"/>
      <c r="D7" s="444"/>
      <c r="E7" s="444"/>
      <c r="F7" s="454">
        <f>'Data Sheet'!F21</f>
        <v>0</v>
      </c>
      <c r="G7" s="455"/>
      <c r="H7" s="455"/>
      <c r="I7" s="455"/>
    </row>
    <row r="8" spans="1:9">
      <c r="A8" s="453"/>
      <c r="B8" s="444"/>
      <c r="C8" s="444"/>
      <c r="D8" s="444"/>
      <c r="E8" s="444"/>
      <c r="F8" s="455"/>
      <c r="G8" s="455"/>
      <c r="H8" s="455"/>
      <c r="I8" s="455"/>
    </row>
    <row r="9" spans="1:9" s="294" customFormat="1">
      <c r="A9" s="456">
        <v>3</v>
      </c>
      <c r="B9" s="443" t="s">
        <v>998</v>
      </c>
      <c r="C9" s="444"/>
      <c r="D9" s="444"/>
      <c r="E9" s="444"/>
      <c r="F9" s="443" t="s">
        <v>999</v>
      </c>
      <c r="G9" s="444"/>
      <c r="H9" s="444"/>
      <c r="I9" s="444"/>
    </row>
    <row r="10" spans="1:9" s="294" customFormat="1">
      <c r="A10" s="456"/>
      <c r="B10" s="444"/>
      <c r="C10" s="444"/>
      <c r="D10" s="444"/>
      <c r="E10" s="444"/>
      <c r="F10" s="444"/>
      <c r="G10" s="444"/>
      <c r="H10" s="444"/>
      <c r="I10" s="444"/>
    </row>
    <row r="11" spans="1:9" ht="48" customHeight="1">
      <c r="A11" s="449" t="s">
        <v>1117</v>
      </c>
      <c r="B11" s="449"/>
      <c r="C11" s="449"/>
      <c r="D11" s="449"/>
      <c r="E11" s="449"/>
      <c r="F11" s="449"/>
      <c r="G11" s="449"/>
      <c r="H11" s="449"/>
      <c r="I11" s="449"/>
    </row>
    <row r="12" spans="1:9">
      <c r="H12" s="450" t="s">
        <v>1000</v>
      </c>
      <c r="I12" s="451"/>
    </row>
    <row r="13" spans="1:9" ht="49.5" customHeight="1">
      <c r="A13" s="295" t="s">
        <v>1001</v>
      </c>
      <c r="B13" s="440" t="s">
        <v>1002</v>
      </c>
      <c r="C13" s="441"/>
      <c r="D13" s="441"/>
      <c r="E13" s="441"/>
      <c r="F13" s="441"/>
      <c r="G13" s="441"/>
      <c r="H13" s="452">
        <f>'TABLE A FOR FORM 10E'!E9</f>
        <v>0</v>
      </c>
      <c r="I13" s="452"/>
    </row>
    <row r="14" spans="1:9" ht="53.25" customHeight="1">
      <c r="A14" s="295" t="s">
        <v>1003</v>
      </c>
      <c r="B14" s="440" t="s">
        <v>1004</v>
      </c>
      <c r="C14" s="441"/>
      <c r="D14" s="441"/>
      <c r="E14" s="441"/>
      <c r="F14" s="441"/>
      <c r="G14" s="441"/>
      <c r="H14" s="442" t="s">
        <v>1005</v>
      </c>
      <c r="I14" s="442"/>
    </row>
    <row r="15" spans="1:9" ht="109.5" customHeight="1">
      <c r="A15" s="295" t="s">
        <v>1006</v>
      </c>
      <c r="B15" s="440" t="s">
        <v>1007</v>
      </c>
      <c r="C15" s="441"/>
      <c r="D15" s="441"/>
      <c r="E15" s="441"/>
      <c r="F15" s="441"/>
      <c r="G15" s="441"/>
      <c r="H15" s="442" t="s">
        <v>1005</v>
      </c>
      <c r="I15" s="442"/>
    </row>
    <row r="16" spans="1:9" ht="57" customHeight="1">
      <c r="A16" s="295" t="s">
        <v>1008</v>
      </c>
      <c r="B16" s="443" t="s">
        <v>1009</v>
      </c>
      <c r="C16" s="444"/>
      <c r="D16" s="444"/>
      <c r="E16" s="444"/>
      <c r="F16" s="444"/>
      <c r="G16" s="444"/>
      <c r="H16" s="442" t="s">
        <v>1005</v>
      </c>
      <c r="I16" s="442"/>
    </row>
    <row r="17" spans="1:9" ht="51" customHeight="1" thickBot="1">
      <c r="A17" s="296">
        <v>2</v>
      </c>
      <c r="B17" s="440" t="s">
        <v>1010</v>
      </c>
      <c r="C17" s="441"/>
      <c r="D17" s="441"/>
      <c r="E17" s="441"/>
      <c r="F17" s="441"/>
      <c r="G17" s="441"/>
    </row>
    <row r="18" spans="1:9">
      <c r="A18" s="296"/>
      <c r="B18" s="297"/>
      <c r="C18" s="298"/>
      <c r="D18" s="298"/>
      <c r="E18" s="298"/>
      <c r="F18" s="298"/>
      <c r="G18" s="419"/>
      <c r="H18" s="420"/>
      <c r="I18" s="421"/>
    </row>
    <row r="19" spans="1:9" ht="17.25" thickBot="1">
      <c r="G19" s="422"/>
      <c r="H19" s="423"/>
      <c r="I19" s="424"/>
    </row>
    <row r="20" spans="1:9">
      <c r="G20" s="445" t="str">
        <f>"Signature of " &amp; F4</f>
        <v>Signature of 0</v>
      </c>
      <c r="H20" s="445"/>
      <c r="I20" s="445"/>
    </row>
    <row r="22" spans="1:9" ht="16.5" customHeight="1">
      <c r="A22" s="446" t="s">
        <v>577</v>
      </c>
      <c r="B22" s="446"/>
      <c r="C22" s="446"/>
      <c r="D22" s="446"/>
      <c r="E22" s="446"/>
      <c r="F22" s="446"/>
      <c r="G22" s="446"/>
      <c r="H22" s="446"/>
      <c r="I22" s="446"/>
    </row>
    <row r="23" spans="1:9" ht="33" customHeight="1">
      <c r="A23" s="441" t="str">
        <f>" I, " &amp; F4 &amp; "  do hereby declare that what is stated above is true to the best of my knowledge and belief"</f>
        <v xml:space="preserve"> I, 0  do hereby declare that what is stated above is true to the best of my knowledge and belief</v>
      </c>
      <c r="B23" s="441"/>
      <c r="C23" s="441"/>
      <c r="D23" s="441"/>
      <c r="E23" s="441"/>
      <c r="F23" s="441"/>
      <c r="G23" s="441"/>
      <c r="H23" s="441"/>
      <c r="I23" s="441"/>
    </row>
    <row r="25" spans="1:9" ht="16.5" customHeight="1">
      <c r="A25" s="447" t="str">
        <f>"Verified at " &amp; B27 &amp; " the " &amp; TEXT(B28,"dd") &amp; " day of " &amp; TEXT(B28,"mmm-yyyy")</f>
        <v>Verified at Chennai the 16 day of Mar-2021</v>
      </c>
      <c r="B25" s="447"/>
      <c r="C25" s="447"/>
      <c r="D25" s="447"/>
      <c r="E25" s="447"/>
      <c r="F25" s="447"/>
      <c r="G25" s="447"/>
      <c r="H25" s="447"/>
      <c r="I25" s="447"/>
    </row>
    <row r="27" spans="1:9" ht="17.25" customHeight="1" thickBot="1">
      <c r="A27" s="299" t="s">
        <v>165</v>
      </c>
      <c r="B27" s="299" t="s">
        <v>513</v>
      </c>
    </row>
    <row r="28" spans="1:9" ht="17.25" customHeight="1" thickBot="1">
      <c r="A28" s="299" t="s">
        <v>166</v>
      </c>
      <c r="B28" s="300">
        <v>44271</v>
      </c>
    </row>
    <row r="29" spans="1:9" ht="16.5" customHeight="1">
      <c r="A29" s="448" t="s">
        <v>1011</v>
      </c>
      <c r="B29" s="448"/>
      <c r="C29" s="448"/>
      <c r="D29" s="448"/>
      <c r="E29" s="448"/>
      <c r="F29" s="448"/>
      <c r="G29" s="448"/>
      <c r="H29" s="448"/>
      <c r="I29" s="448"/>
    </row>
    <row r="30" spans="1:9" ht="16.5" customHeight="1">
      <c r="A30" s="439" t="s">
        <v>1012</v>
      </c>
      <c r="B30" s="439"/>
      <c r="C30" s="439"/>
      <c r="D30" s="439"/>
      <c r="E30" s="439"/>
      <c r="F30" s="439"/>
      <c r="G30" s="439"/>
      <c r="H30" s="439"/>
      <c r="I30" s="439"/>
    </row>
    <row r="32" spans="1:9" ht="39.950000000000003" customHeight="1">
      <c r="A32" s="301" t="s">
        <v>89</v>
      </c>
      <c r="B32" s="435" t="s">
        <v>191</v>
      </c>
      <c r="C32" s="435"/>
      <c r="D32" s="435"/>
      <c r="E32" s="435"/>
      <c r="F32" s="435"/>
      <c r="G32" s="435"/>
      <c r="H32" s="435" t="s">
        <v>542</v>
      </c>
      <c r="I32" s="435"/>
    </row>
    <row r="33" spans="1:9" ht="39.950000000000003" customHeight="1">
      <c r="A33" s="302">
        <v>1</v>
      </c>
      <c r="B33" s="431" t="s">
        <v>1013</v>
      </c>
      <c r="C33" s="432"/>
      <c r="D33" s="432"/>
      <c r="E33" s="432"/>
      <c r="F33" s="432"/>
      <c r="G33" s="433"/>
      <c r="H33" s="434">
        <f>'TABLE A FOR FORM 10E'!D44</f>
        <v>0</v>
      </c>
      <c r="I33" s="434"/>
    </row>
    <row r="34" spans="1:9" ht="39.950000000000003" customHeight="1">
      <c r="A34" s="302">
        <v>2</v>
      </c>
      <c r="B34" s="436" t="s">
        <v>1014</v>
      </c>
      <c r="C34" s="437"/>
      <c r="D34" s="437"/>
      <c r="E34" s="437"/>
      <c r="F34" s="437"/>
      <c r="G34" s="438"/>
      <c r="H34" s="434">
        <f>'TABLE A FOR FORM 10E'!F45</f>
        <v>0</v>
      </c>
      <c r="I34" s="434"/>
    </row>
    <row r="35" spans="1:9" ht="39.950000000000003" customHeight="1">
      <c r="A35" s="302">
        <v>3</v>
      </c>
      <c r="B35" s="431" t="s">
        <v>1015</v>
      </c>
      <c r="C35" s="432"/>
      <c r="D35" s="432"/>
      <c r="E35" s="432"/>
      <c r="F35" s="432"/>
      <c r="G35" s="433"/>
      <c r="H35" s="427">
        <f>H33+H34</f>
        <v>0</v>
      </c>
      <c r="I35" s="418"/>
    </row>
    <row r="36" spans="1:9" ht="39.950000000000003" customHeight="1">
      <c r="A36" s="302">
        <v>4</v>
      </c>
      <c r="B36" s="426" t="s">
        <v>1016</v>
      </c>
      <c r="C36" s="426"/>
      <c r="D36" s="426"/>
      <c r="E36" s="426"/>
      <c r="F36" s="426"/>
      <c r="G36" s="426"/>
      <c r="H36" s="434">
        <f>'TABLE A FOR FORM 10E'!F50</f>
        <v>0</v>
      </c>
      <c r="I36" s="434"/>
    </row>
    <row r="37" spans="1:9" ht="39.950000000000003" customHeight="1">
      <c r="A37" s="302">
        <v>5</v>
      </c>
      <c r="B37" s="426" t="s">
        <v>1017</v>
      </c>
      <c r="C37" s="426"/>
      <c r="D37" s="426"/>
      <c r="E37" s="426"/>
      <c r="F37" s="426"/>
      <c r="G37" s="426"/>
      <c r="H37" s="434">
        <f>'TABLE A FOR FORM 10E'!D50</f>
        <v>0</v>
      </c>
      <c r="I37" s="434"/>
    </row>
    <row r="38" spans="1:9" ht="39.950000000000003" customHeight="1">
      <c r="A38" s="302">
        <v>6</v>
      </c>
      <c r="B38" s="426" t="s">
        <v>1018</v>
      </c>
      <c r="C38" s="426"/>
      <c r="D38" s="426"/>
      <c r="E38" s="426"/>
      <c r="F38" s="426"/>
      <c r="G38" s="426"/>
      <c r="H38" s="427">
        <f>H36-H37</f>
        <v>0</v>
      </c>
      <c r="I38" s="418"/>
    </row>
    <row r="39" spans="1:9" ht="39.950000000000003" customHeight="1">
      <c r="A39" s="302">
        <v>7</v>
      </c>
      <c r="B39" s="426" t="s">
        <v>1019</v>
      </c>
      <c r="C39" s="426"/>
      <c r="D39" s="426"/>
      <c r="E39" s="426"/>
      <c r="F39" s="426"/>
      <c r="G39" s="426"/>
      <c r="H39" s="428" t="str">
        <f>IF(OR('TABLE A FOR FORM 10E'!M9="",'TABLE A FOR FORM 10E'!M9=0),"Error!- Enter Data for Form 10E in Info Sheet",'TABLE A FOR FORM 10E'!M9)</f>
        <v>Error!- Enter Data for Form 10E in Info Sheet</v>
      </c>
      <c r="I39" s="428"/>
    </row>
    <row r="40" spans="1:9" ht="51.75" customHeight="1">
      <c r="A40" s="302">
        <v>8</v>
      </c>
      <c r="B40" s="426" t="s">
        <v>1020</v>
      </c>
      <c r="C40" s="426"/>
      <c r="D40" s="426"/>
      <c r="E40" s="426"/>
      <c r="F40" s="426"/>
      <c r="G40" s="426"/>
      <c r="H40" s="429" t="str">
        <f>IF(H39="Error!- Enter Data for Form 10E in Info Sheet","Error!-Enter Data for Form 10E in Info Sheet",IF(H38-H39&gt;0,H38-H39,0))</f>
        <v>Error!-Enter Data for Form 10E in Info Sheet</v>
      </c>
      <c r="I40" s="430"/>
    </row>
    <row r="41" spans="1:9" ht="16.5" hidden="1" customHeight="1">
      <c r="A41" s="303"/>
      <c r="B41" s="418"/>
      <c r="C41" s="418"/>
      <c r="D41" s="418"/>
      <c r="E41" s="418"/>
      <c r="F41" s="418"/>
      <c r="G41" s="418"/>
      <c r="H41" s="418"/>
      <c r="I41" s="418"/>
    </row>
    <row r="46" spans="1:9" ht="17.25" customHeight="1" thickBot="1"/>
    <row r="47" spans="1:9" ht="16.5" customHeight="1">
      <c r="G47" s="419"/>
      <c r="H47" s="420"/>
      <c r="I47" s="421"/>
    </row>
    <row r="48" spans="1:9" ht="17.25" customHeight="1" thickBot="1">
      <c r="G48" s="422"/>
      <c r="H48" s="423"/>
      <c r="I48" s="424"/>
    </row>
    <row r="49" spans="7:9" ht="16.5" customHeight="1">
      <c r="G49" s="425" t="str">
        <f>"(" &amp; F4 &amp; ")"</f>
        <v>(0)</v>
      </c>
      <c r="H49" s="425"/>
      <c r="I49" s="425"/>
    </row>
  </sheetData>
  <sheetProtection password="F2F3" sheet="1" objects="1" scenarios="1"/>
  <mergeCells count="52">
    <mergeCell ref="A1:I1"/>
    <mergeCell ref="A2:I2"/>
    <mergeCell ref="A4:A6"/>
    <mergeCell ref="B4:E6"/>
    <mergeCell ref="F4:I4"/>
    <mergeCell ref="F5:I6"/>
    <mergeCell ref="A7:A8"/>
    <mergeCell ref="B7:E8"/>
    <mergeCell ref="F7:I8"/>
    <mergeCell ref="A9:A10"/>
    <mergeCell ref="B9:E10"/>
    <mergeCell ref="F9:I10"/>
    <mergeCell ref="A11:I11"/>
    <mergeCell ref="H12:I12"/>
    <mergeCell ref="B13:G13"/>
    <mergeCell ref="H13:I13"/>
    <mergeCell ref="B14:G14"/>
    <mergeCell ref="H14:I14"/>
    <mergeCell ref="A30:I30"/>
    <mergeCell ref="B15:G15"/>
    <mergeCell ref="H15:I15"/>
    <mergeCell ref="B16:G16"/>
    <mergeCell ref="H16:I16"/>
    <mergeCell ref="B17:G17"/>
    <mergeCell ref="G18:I19"/>
    <mergeCell ref="G20:I20"/>
    <mergeCell ref="A22:I22"/>
    <mergeCell ref="A23:I23"/>
    <mergeCell ref="A25:I25"/>
    <mergeCell ref="A29:I29"/>
    <mergeCell ref="B32:G32"/>
    <mergeCell ref="H32:I32"/>
    <mergeCell ref="B33:G33"/>
    <mergeCell ref="H33:I33"/>
    <mergeCell ref="B34:G34"/>
    <mergeCell ref="H34:I34"/>
    <mergeCell ref="B35:G35"/>
    <mergeCell ref="H35:I35"/>
    <mergeCell ref="B36:G36"/>
    <mergeCell ref="H36:I36"/>
    <mergeCell ref="B37:G37"/>
    <mergeCell ref="H37:I37"/>
    <mergeCell ref="B41:G41"/>
    <mergeCell ref="H41:I41"/>
    <mergeCell ref="G47:I48"/>
    <mergeCell ref="G49:I49"/>
    <mergeCell ref="B38:G38"/>
    <mergeCell ref="H38:I38"/>
    <mergeCell ref="B39:G39"/>
    <mergeCell ref="H39:I39"/>
    <mergeCell ref="B40:G40"/>
    <mergeCell ref="H40:I40"/>
  </mergeCells>
  <printOptions horizontalCentered="1"/>
  <pageMargins left="0.7" right="0.7" top="0.75" bottom="0.75" header="0.3" footer="0.3"/>
  <pageSetup paperSize="9" scale="94" orientation="portrait" r:id="rId1"/>
  <rowBreaks count="1" manualBreakCount="1">
    <brk id="28" max="16383" man="1"/>
  </rowBreaks>
</worksheet>
</file>

<file path=xl/worksheets/sheet5.xml><?xml version="1.0" encoding="utf-8"?>
<worksheet xmlns="http://schemas.openxmlformats.org/spreadsheetml/2006/main" xmlns:r="http://schemas.openxmlformats.org/officeDocument/2006/relationships">
  <sheetPr codeName="Sheet17">
    <tabColor rgb="FFFF0000"/>
  </sheetPr>
  <dimension ref="A1:N50"/>
  <sheetViews>
    <sheetView workbookViewId="0">
      <selection activeCell="G8" sqref="G8:H8"/>
    </sheetView>
  </sheetViews>
  <sheetFormatPr defaultRowHeight="16.5"/>
  <cols>
    <col min="1" max="3" width="9.140625" style="294"/>
    <col min="4" max="4" width="10.140625" style="294" customWidth="1"/>
    <col min="5" max="16384" width="9.140625" style="294"/>
  </cols>
  <sheetData>
    <row r="1" spans="1:14">
      <c r="A1" s="477" t="s">
        <v>1021</v>
      </c>
      <c r="B1" s="477"/>
      <c r="C1" s="477"/>
      <c r="D1" s="477"/>
      <c r="E1" s="477"/>
      <c r="F1" s="477"/>
      <c r="G1" s="477"/>
      <c r="H1" s="477"/>
      <c r="I1" s="477"/>
      <c r="J1" s="477"/>
      <c r="K1" s="477"/>
      <c r="L1" s="477"/>
      <c r="M1" s="477"/>
      <c r="N1" s="477"/>
    </row>
    <row r="2" spans="1:14">
      <c r="A2" s="478" t="s">
        <v>1022</v>
      </c>
      <c r="B2" s="478"/>
      <c r="C2" s="478"/>
      <c r="D2" s="478"/>
      <c r="E2" s="478"/>
      <c r="F2" s="478"/>
      <c r="G2" s="478"/>
      <c r="H2" s="478"/>
      <c r="I2" s="478"/>
      <c r="J2" s="478"/>
      <c r="K2" s="478"/>
      <c r="L2" s="478"/>
      <c r="M2" s="478"/>
      <c r="N2" s="478"/>
    </row>
    <row r="4" spans="1:14" s="304" customFormat="1" ht="129" customHeight="1">
      <c r="A4" s="476" t="s">
        <v>1023</v>
      </c>
      <c r="B4" s="476"/>
      <c r="C4" s="479" t="s">
        <v>1024</v>
      </c>
      <c r="D4" s="479"/>
      <c r="E4" s="479" t="s">
        <v>1025</v>
      </c>
      <c r="F4" s="479"/>
      <c r="G4" s="479" t="s">
        <v>1026</v>
      </c>
      <c r="H4" s="479"/>
      <c r="I4" s="480" t="s">
        <v>1027</v>
      </c>
      <c r="J4" s="480"/>
      <c r="K4" s="480" t="s">
        <v>1028</v>
      </c>
      <c r="L4" s="480"/>
      <c r="M4" s="480" t="s">
        <v>1029</v>
      </c>
      <c r="N4" s="480"/>
    </row>
    <row r="5" spans="1:14">
      <c r="A5" s="476">
        <v>1</v>
      </c>
      <c r="B5" s="476"/>
      <c r="C5" s="476">
        <v>2</v>
      </c>
      <c r="D5" s="476"/>
      <c r="E5" s="476">
        <v>3</v>
      </c>
      <c r="F5" s="476"/>
      <c r="G5" s="476">
        <v>4</v>
      </c>
      <c r="H5" s="476"/>
      <c r="I5" s="476">
        <v>5</v>
      </c>
      <c r="J5" s="476"/>
      <c r="K5" s="476">
        <v>6</v>
      </c>
      <c r="L5" s="476"/>
      <c r="M5" s="476">
        <v>7</v>
      </c>
      <c r="N5" s="476"/>
    </row>
    <row r="6" spans="1:14" ht="35.1" customHeight="1">
      <c r="A6" s="475" t="s">
        <v>1071</v>
      </c>
      <c r="B6" s="475"/>
      <c r="C6" s="474">
        <f>'Data for Relief US 89'!E7</f>
        <v>0</v>
      </c>
      <c r="D6" s="474"/>
      <c r="E6" s="474">
        <f>'Data for Relief US 89'!H12</f>
        <v>0</v>
      </c>
      <c r="F6" s="474"/>
      <c r="G6" s="474">
        <f>C6+E6</f>
        <v>0</v>
      </c>
      <c r="H6" s="474"/>
      <c r="I6" s="474">
        <f>H30</f>
        <v>0</v>
      </c>
      <c r="J6" s="474"/>
      <c r="K6" s="474">
        <f>H40</f>
        <v>0</v>
      </c>
      <c r="L6" s="474"/>
      <c r="M6" s="474">
        <f>K6-I6</f>
        <v>0</v>
      </c>
      <c r="N6" s="474"/>
    </row>
    <row r="7" spans="1:14" ht="35.1" customHeight="1">
      <c r="A7" s="475" t="s">
        <v>1118</v>
      </c>
      <c r="B7" s="475"/>
      <c r="C7" s="474">
        <f>'Data for Relief US 89'!E8</f>
        <v>0</v>
      </c>
      <c r="D7" s="474"/>
      <c r="E7" s="474">
        <f>'Data for Relief US 89'!H13</f>
        <v>0</v>
      </c>
      <c r="F7" s="474"/>
      <c r="G7" s="474">
        <f>C7+E7</f>
        <v>0</v>
      </c>
      <c r="H7" s="474"/>
      <c r="I7" s="474">
        <f>F30</f>
        <v>0</v>
      </c>
      <c r="J7" s="474"/>
      <c r="K7" s="474">
        <f>F40</f>
        <v>0</v>
      </c>
      <c r="L7" s="474"/>
      <c r="M7" s="474">
        <f>K7-I7</f>
        <v>0</v>
      </c>
      <c r="N7" s="474"/>
    </row>
    <row r="8" spans="1:14" ht="35.1" customHeight="1">
      <c r="A8" s="475" t="s">
        <v>1119</v>
      </c>
      <c r="B8" s="475"/>
      <c r="C8" s="474">
        <f>'Data for Relief US 89'!E9</f>
        <v>0</v>
      </c>
      <c r="D8" s="474"/>
      <c r="E8" s="474">
        <f>'Data for Relief US 89'!H14</f>
        <v>0</v>
      </c>
      <c r="F8" s="474"/>
      <c r="G8" s="474">
        <f>C8+E8</f>
        <v>0</v>
      </c>
      <c r="H8" s="474"/>
      <c r="I8" s="474">
        <f>D30</f>
        <v>0</v>
      </c>
      <c r="J8" s="474"/>
      <c r="K8" s="474">
        <f>D40</f>
        <v>0</v>
      </c>
      <c r="L8" s="474"/>
      <c r="M8" s="474">
        <f>K8-I8</f>
        <v>0</v>
      </c>
      <c r="N8" s="474"/>
    </row>
    <row r="9" spans="1:14" s="305" customFormat="1" ht="35.1" customHeight="1">
      <c r="A9" s="473" t="s">
        <v>587</v>
      </c>
      <c r="B9" s="473"/>
      <c r="C9" s="471">
        <f>SUM(C6:D8)</f>
        <v>0</v>
      </c>
      <c r="D9" s="471"/>
      <c r="E9" s="471">
        <f>SUM(E6:F8)</f>
        <v>0</v>
      </c>
      <c r="F9" s="471"/>
      <c r="G9" s="471">
        <f>SUM(G6:H8)</f>
        <v>0</v>
      </c>
      <c r="H9" s="471"/>
      <c r="I9" s="471">
        <f>SUM(I6:J8)</f>
        <v>0</v>
      </c>
      <c r="J9" s="471"/>
      <c r="K9" s="471">
        <f>SUM(K6:L8)</f>
        <v>0</v>
      </c>
      <c r="L9" s="471"/>
      <c r="M9" s="471">
        <f>SUM(M6:N8)</f>
        <v>0</v>
      </c>
      <c r="N9" s="471"/>
    </row>
    <row r="13" spans="1:14" ht="17.25" thickBot="1"/>
    <row r="14" spans="1:14">
      <c r="L14" s="419"/>
      <c r="M14" s="420"/>
      <c r="N14" s="421"/>
    </row>
    <row r="15" spans="1:14" ht="17.25" thickBot="1">
      <c r="L15" s="422"/>
      <c r="M15" s="423"/>
      <c r="N15" s="424"/>
    </row>
    <row r="16" spans="1:14">
      <c r="L16" s="472" t="str">
        <f>"("&amp;'Form 10E'!F4 &amp; ")"</f>
        <v>(0)</v>
      </c>
      <c r="M16" s="472"/>
      <c r="N16" s="472"/>
    </row>
    <row r="22" spans="1:9">
      <c r="A22" s="470" t="s">
        <v>1030</v>
      </c>
      <c r="B22" s="470"/>
      <c r="C22" s="470"/>
      <c r="D22" s="470"/>
      <c r="E22" s="470"/>
      <c r="F22" s="470"/>
      <c r="G22" s="470"/>
      <c r="H22" s="470"/>
      <c r="I22" s="470"/>
    </row>
    <row r="23" spans="1:9">
      <c r="A23" s="469" t="s">
        <v>191</v>
      </c>
      <c r="B23" s="469"/>
      <c r="C23" s="469"/>
      <c r="D23" s="469" t="s">
        <v>1119</v>
      </c>
      <c r="E23" s="469"/>
      <c r="F23" s="469" t="s">
        <v>1118</v>
      </c>
      <c r="G23" s="469"/>
      <c r="H23" s="469" t="s">
        <v>1071</v>
      </c>
      <c r="I23" s="469"/>
    </row>
    <row r="24" spans="1:9">
      <c r="A24" s="461" t="s">
        <v>1031</v>
      </c>
      <c r="B24" s="462"/>
      <c r="C24" s="462"/>
      <c r="D24" s="464">
        <f>C8</f>
        <v>0</v>
      </c>
      <c r="E24" s="464"/>
      <c r="F24" s="464">
        <f>C7</f>
        <v>0</v>
      </c>
      <c r="G24" s="464"/>
      <c r="H24" s="464">
        <f>C6</f>
        <v>0</v>
      </c>
      <c r="I24" s="464"/>
    </row>
    <row r="25" spans="1:9">
      <c r="A25" s="461" t="s">
        <v>1032</v>
      </c>
      <c r="B25" s="462"/>
      <c r="C25" s="462"/>
      <c r="D25" s="464">
        <f>ROUND(IF(D24&lt;=250000,0,IF(D24&lt;=500000,(D24-250000)*5%,IF(D24&lt;=1000000,12500+(D24-500000)*20%,IF(D24&gt;1000000,112500+(D24-1000000)*30%)))),0)</f>
        <v>0</v>
      </c>
      <c r="E25" s="464"/>
      <c r="F25" s="464">
        <f>ROUND(IF(F24&lt;=250000,0,IF(F24&lt;=500000,(F24-250000)*5%,IF(F24&lt;=1000000,12500+(F24-500000)*20%,IF(F24&gt;1000000,112500+(F24-1000000)*30%)))),0)</f>
        <v>0</v>
      </c>
      <c r="G25" s="464"/>
      <c r="H25" s="464">
        <f>ROUND(IF(H24&lt;=250000,0,IF(H24&lt;=500000,(H24-250000)*5%,IF(H24&lt;=1000000,12500+(H24-500000)*20%,IF(H24&gt;1000000,112500+(H24-1000000)*30%)))),0)</f>
        <v>0</v>
      </c>
      <c r="I25" s="464"/>
    </row>
    <row r="26" spans="1:9">
      <c r="A26" s="461" t="s">
        <v>1033</v>
      </c>
      <c r="B26" s="462"/>
      <c r="C26" s="462"/>
      <c r="D26" s="464">
        <f>IF(AND(D24&gt;250000,D24&lt;=350000),MIN(D24,2500),0)</f>
        <v>0</v>
      </c>
      <c r="E26" s="464"/>
      <c r="F26" s="464">
        <f>IF(AND(F24&gt;250000,F24&lt;=500000),MIN(F24,2500),0)</f>
        <v>0</v>
      </c>
      <c r="G26" s="464"/>
      <c r="H26" s="464">
        <f>IF(AND(H24&gt;250000,H24&lt;=500000),MIN(H24,12500),0)</f>
        <v>0</v>
      </c>
      <c r="I26" s="464"/>
    </row>
    <row r="27" spans="1:9">
      <c r="A27" s="461" t="s">
        <v>1034</v>
      </c>
      <c r="B27" s="462"/>
      <c r="C27" s="462"/>
      <c r="D27" s="464">
        <f>D25-D26</f>
        <v>0</v>
      </c>
      <c r="E27" s="464"/>
      <c r="F27" s="464">
        <f>F25-F26</f>
        <v>0</v>
      </c>
      <c r="G27" s="464"/>
      <c r="H27" s="464">
        <f>H25-H26</f>
        <v>0</v>
      </c>
      <c r="I27" s="464"/>
    </row>
    <row r="28" spans="1:9">
      <c r="A28" s="461" t="s">
        <v>1035</v>
      </c>
      <c r="B28" s="462"/>
      <c r="C28" s="462"/>
      <c r="D28" s="464">
        <f>IF(D24&gt;100000000,D24*3%,IF(D24&lt;10000000,0))</f>
        <v>0</v>
      </c>
      <c r="E28" s="464"/>
      <c r="F28" s="464">
        <f>IF(F24&gt;100000000,F24*3%,IF(F24&lt;10000000,0))</f>
        <v>0</v>
      </c>
      <c r="G28" s="464"/>
      <c r="H28" s="464">
        <f>IF(H24&gt;100000000,H24*3%,IF(H24&lt;10000000,0))</f>
        <v>0</v>
      </c>
      <c r="I28" s="464"/>
    </row>
    <row r="29" spans="1:9">
      <c r="A29" s="461" t="s">
        <v>1036</v>
      </c>
      <c r="B29" s="462"/>
      <c r="C29" s="462"/>
      <c r="D29" s="464">
        <f>ROUND((D27+D28)*3%,0)</f>
        <v>0</v>
      </c>
      <c r="E29" s="464"/>
      <c r="F29" s="464">
        <f>ROUND((F27+F28)*3%,0)</f>
        <v>0</v>
      </c>
      <c r="G29" s="464"/>
      <c r="H29" s="464">
        <f>ROUND((H27+H28)*4%,0)</f>
        <v>0</v>
      </c>
      <c r="I29" s="464"/>
    </row>
    <row r="30" spans="1:9">
      <c r="A30" s="461" t="s">
        <v>1037</v>
      </c>
      <c r="B30" s="462"/>
      <c r="C30" s="462"/>
      <c r="D30" s="463">
        <f>D27+D28+D29</f>
        <v>0</v>
      </c>
      <c r="E30" s="463"/>
      <c r="F30" s="463">
        <f>F27+F28+F29</f>
        <v>0</v>
      </c>
      <c r="G30" s="463"/>
      <c r="H30" s="463">
        <f>H27+H28+H29</f>
        <v>0</v>
      </c>
      <c r="I30" s="463"/>
    </row>
    <row r="32" spans="1:9">
      <c r="A32" s="470" t="s">
        <v>1038</v>
      </c>
      <c r="B32" s="470"/>
      <c r="C32" s="470"/>
      <c r="D32" s="470"/>
      <c r="E32" s="470"/>
      <c r="F32" s="470"/>
      <c r="G32" s="470"/>
      <c r="H32" s="470"/>
      <c r="I32" s="470"/>
    </row>
    <row r="33" spans="1:9" ht="16.5" customHeight="1">
      <c r="A33" s="469" t="s">
        <v>191</v>
      </c>
      <c r="B33" s="469"/>
      <c r="C33" s="469"/>
      <c r="D33" s="469" t="str">
        <f>D23</f>
        <v>2017-2018</v>
      </c>
      <c r="E33" s="469"/>
      <c r="F33" s="469" t="str">
        <f>F23</f>
        <v>2018-2019</v>
      </c>
      <c r="G33" s="469"/>
      <c r="H33" s="469" t="str">
        <f>H23</f>
        <v>2019-2020</v>
      </c>
      <c r="I33" s="469"/>
    </row>
    <row r="34" spans="1:9">
      <c r="A34" s="461" t="s">
        <v>1031</v>
      </c>
      <c r="B34" s="462"/>
      <c r="C34" s="462"/>
      <c r="D34" s="464">
        <f>G8</f>
        <v>0</v>
      </c>
      <c r="E34" s="464"/>
      <c r="F34" s="464">
        <f>G7</f>
        <v>0</v>
      </c>
      <c r="G34" s="464"/>
      <c r="H34" s="464">
        <f>G6</f>
        <v>0</v>
      </c>
      <c r="I34" s="464"/>
    </row>
    <row r="35" spans="1:9">
      <c r="A35" s="461" t="s">
        <v>1032</v>
      </c>
      <c r="B35" s="462"/>
      <c r="C35" s="462"/>
      <c r="D35" s="464">
        <f>ROUND(IF(D34&lt;=250000,0,IF(D34&lt;=500000,(D34-250000)*5%,IF(D34&lt;=1000000,12500+(D34-500000)*20%,IF(D34&gt;1000000,112500+(D34-1000000)*30%)))),0)</f>
        <v>0</v>
      </c>
      <c r="E35" s="464"/>
      <c r="F35" s="464">
        <f>ROUND(IF(F34&lt;=250000,0,IF(F34&lt;=500000,(F34-250000)*5%,IF(F34&lt;=1000000,12500+(F34-500000)*20%,IF(F34&gt;1000000,112500+(F34-1000000)*30%)))),0)</f>
        <v>0</v>
      </c>
      <c r="G35" s="464"/>
      <c r="H35" s="464">
        <f>ROUND(IF(H34&lt;=250000,0,IF(H34&lt;=500000,(H34-250000)*5%,IF(H34&lt;=1000000,12500+(H34-500000)*20%,IF(H34&gt;1000000,112500+(H34-1000000)*30%)))),0)</f>
        <v>0</v>
      </c>
      <c r="I35" s="464"/>
    </row>
    <row r="36" spans="1:9">
      <c r="A36" s="461" t="s">
        <v>1033</v>
      </c>
      <c r="B36" s="462"/>
      <c r="C36" s="462"/>
      <c r="D36" s="464">
        <f>IF(AND(D24&gt;250000,D24&lt;=350000),MIN(D24,2500),0)</f>
        <v>0</v>
      </c>
      <c r="E36" s="464"/>
      <c r="F36" s="464">
        <f>IF(AND(F34&gt;250000,F34&lt;=500000),MIN(F34,2500),0)</f>
        <v>0</v>
      </c>
      <c r="G36" s="464"/>
      <c r="H36" s="464">
        <f>IF(AND(H34&gt;250000,H34&lt;=500000),MIN(H34,12500),0)</f>
        <v>0</v>
      </c>
      <c r="I36" s="464"/>
    </row>
    <row r="37" spans="1:9">
      <c r="A37" s="461" t="s">
        <v>1034</v>
      </c>
      <c r="B37" s="462"/>
      <c r="C37" s="462"/>
      <c r="D37" s="464">
        <f>IF(D35-D36&gt;0,D35-D36,0)</f>
        <v>0</v>
      </c>
      <c r="E37" s="464"/>
      <c r="F37" s="464">
        <f>IF(F35-F36&gt;0,F35-F36,0)</f>
        <v>0</v>
      </c>
      <c r="G37" s="464"/>
      <c r="H37" s="464">
        <f>IF(H35-H36&gt;0,H35-H36,0)</f>
        <v>0</v>
      </c>
      <c r="I37" s="464"/>
    </row>
    <row r="38" spans="1:9">
      <c r="A38" s="461" t="s">
        <v>1035</v>
      </c>
      <c r="B38" s="462"/>
      <c r="C38" s="462"/>
      <c r="D38" s="464">
        <f>IF(D34&gt;100000000,D34*3%,IF(D34&lt;10000000,0))</f>
        <v>0</v>
      </c>
      <c r="E38" s="464"/>
      <c r="F38" s="464">
        <f>IF(F34&gt;100000000,F34*3%,IF(F34&lt;10000000,0))</f>
        <v>0</v>
      </c>
      <c r="G38" s="464"/>
      <c r="H38" s="464">
        <f>IF(H34&gt;100000000,H34*3%,IF(H34&lt;10000000,0))</f>
        <v>0</v>
      </c>
      <c r="I38" s="464"/>
    </row>
    <row r="39" spans="1:9">
      <c r="A39" s="461" t="s">
        <v>1036</v>
      </c>
      <c r="B39" s="462"/>
      <c r="C39" s="462"/>
      <c r="D39" s="464">
        <f>ROUND((D37+D38)*3%,0)</f>
        <v>0</v>
      </c>
      <c r="E39" s="464"/>
      <c r="F39" s="464">
        <f>ROUND((F37+F38)*3%,0)</f>
        <v>0</v>
      </c>
      <c r="G39" s="464"/>
      <c r="H39" s="464">
        <f>ROUND((H37+H38)*4%,0)</f>
        <v>0</v>
      </c>
      <c r="I39" s="464"/>
    </row>
    <row r="40" spans="1:9">
      <c r="A40" s="461" t="s">
        <v>1037</v>
      </c>
      <c r="B40" s="462"/>
      <c r="C40" s="462"/>
      <c r="D40" s="463">
        <f>D37+D38+D39</f>
        <v>0</v>
      </c>
      <c r="E40" s="463"/>
      <c r="F40" s="463">
        <f>F37+F38+F39</f>
        <v>0</v>
      </c>
      <c r="G40" s="463"/>
      <c r="H40" s="463">
        <f>H37+H38+H39</f>
        <v>0</v>
      </c>
      <c r="I40" s="463"/>
    </row>
    <row r="43" spans="1:9">
      <c r="A43" s="469" t="s">
        <v>191</v>
      </c>
      <c r="B43" s="469"/>
      <c r="C43" s="469"/>
      <c r="D43" s="469" t="s">
        <v>1104</v>
      </c>
      <c r="E43" s="469"/>
      <c r="F43" s="469" t="s">
        <v>1104</v>
      </c>
      <c r="G43" s="469"/>
    </row>
    <row r="44" spans="1:9">
      <c r="A44" s="461" t="s">
        <v>1039</v>
      </c>
      <c r="B44" s="462"/>
      <c r="C44" s="462"/>
      <c r="D44" s="464">
        <f>'Computation Sheet'!H113-('Data for Relief US 89'!H12+'Data for Relief US 89'!H13+'Data for Relief US 89'!H14)</f>
        <v>0</v>
      </c>
      <c r="E44" s="464"/>
      <c r="F44" s="464">
        <f>D44</f>
        <v>0</v>
      </c>
      <c r="G44" s="464"/>
    </row>
    <row r="45" spans="1:9">
      <c r="A45" s="461" t="s">
        <v>1014</v>
      </c>
      <c r="B45" s="462"/>
      <c r="C45" s="462"/>
      <c r="D45" s="468"/>
      <c r="E45" s="468"/>
      <c r="F45" s="464">
        <f>'Data for Relief US 89'!H12+'Data for Relief US 89'!H13+'Data for Relief US 89'!H14</f>
        <v>0</v>
      </c>
      <c r="G45" s="464"/>
    </row>
    <row r="46" spans="1:9" ht="46.5" customHeight="1">
      <c r="A46" s="465" t="s">
        <v>1046</v>
      </c>
      <c r="B46" s="466"/>
      <c r="C46" s="467"/>
      <c r="D46" s="464">
        <f>D44+D45</f>
        <v>0</v>
      </c>
      <c r="E46" s="464"/>
      <c r="F46" s="464">
        <f>F44+F45</f>
        <v>0</v>
      </c>
      <c r="G46" s="464"/>
    </row>
    <row r="47" spans="1:9">
      <c r="A47" s="461" t="s">
        <v>1032</v>
      </c>
      <c r="B47" s="462"/>
      <c r="C47" s="462"/>
      <c r="D47" s="464">
        <f>ROUND(IF(D46&lt;=250000,0,IF(D46&lt;=500000,(D46-250000)*5%,IF(D46&lt;=1000000,12500+(D46-500000)*20%,IF(D46&gt;1000000,112500+(D46-1000000)*30%)))),0)</f>
        <v>0</v>
      </c>
      <c r="E47" s="464"/>
      <c r="F47" s="464">
        <f>ROUND(IF(F46&lt;=250000,0,IF(F46&lt;=500000,(F46-250000)*5%,IF(F46&lt;=1000000,12500+(F46-500000)*20%,IF(F46&gt;1000000,112500+(F46-1000000)*30%)))),0)</f>
        <v>0</v>
      </c>
      <c r="G47" s="464"/>
    </row>
    <row r="48" spans="1:9">
      <c r="A48" s="461" t="s">
        <v>1040</v>
      </c>
      <c r="B48" s="462"/>
      <c r="C48" s="462"/>
      <c r="D48" s="464">
        <f>IF(D44&gt;100000000,D44*3%,IF(D44&lt;10000000,0))</f>
        <v>0</v>
      </c>
      <c r="E48" s="464"/>
      <c r="F48" s="464">
        <f>IF(F44&gt;100000000,F44*3%,IF(F44&lt;10000000,0))</f>
        <v>0</v>
      </c>
      <c r="G48" s="464"/>
    </row>
    <row r="49" spans="1:7">
      <c r="A49" s="461" t="s">
        <v>1041</v>
      </c>
      <c r="B49" s="462"/>
      <c r="C49" s="462"/>
      <c r="D49" s="464">
        <f>ROUND((D47+D48)*4%,0)</f>
        <v>0</v>
      </c>
      <c r="E49" s="464"/>
      <c r="F49" s="464">
        <f>ROUND((F47+F48)*4%,0)</f>
        <v>0</v>
      </c>
      <c r="G49" s="464"/>
    </row>
    <row r="50" spans="1:7">
      <c r="A50" s="461" t="s">
        <v>1037</v>
      </c>
      <c r="B50" s="462"/>
      <c r="C50" s="462"/>
      <c r="D50" s="463">
        <f>D47+D48+D49</f>
        <v>0</v>
      </c>
      <c r="E50" s="463"/>
      <c r="F50" s="463">
        <f>F47+F48+F49</f>
        <v>0</v>
      </c>
      <c r="G50" s="463"/>
    </row>
  </sheetData>
  <sheetProtection password="F2F3" sheet="1" objects="1" scenarios="1"/>
  <mergeCells count="136">
    <mergeCell ref="A1:N1"/>
    <mergeCell ref="A2:N2"/>
    <mergeCell ref="A4:B4"/>
    <mergeCell ref="C4:D4"/>
    <mergeCell ref="E4:F4"/>
    <mergeCell ref="G4:H4"/>
    <mergeCell ref="I4:J4"/>
    <mergeCell ref="K4:L4"/>
    <mergeCell ref="M4:N4"/>
    <mergeCell ref="M5:N5"/>
    <mergeCell ref="A6:B6"/>
    <mergeCell ref="C6:D6"/>
    <mergeCell ref="E6:F6"/>
    <mergeCell ref="G6:H6"/>
    <mergeCell ref="I6:J6"/>
    <mergeCell ref="K6:L6"/>
    <mergeCell ref="M6:N6"/>
    <mergeCell ref="A5:B5"/>
    <mergeCell ref="C5:D5"/>
    <mergeCell ref="E5:F5"/>
    <mergeCell ref="G5:H5"/>
    <mergeCell ref="I5:J5"/>
    <mergeCell ref="K5:L5"/>
    <mergeCell ref="M7:N7"/>
    <mergeCell ref="A8:B8"/>
    <mergeCell ref="C8:D8"/>
    <mergeCell ref="E8:F8"/>
    <mergeCell ref="G8:H8"/>
    <mergeCell ref="I8:J8"/>
    <mergeCell ref="K8:L8"/>
    <mergeCell ref="M8:N8"/>
    <mergeCell ref="A7:B7"/>
    <mergeCell ref="C7:D7"/>
    <mergeCell ref="E7:F7"/>
    <mergeCell ref="G7:H7"/>
    <mergeCell ref="I7:J7"/>
    <mergeCell ref="K7:L7"/>
    <mergeCell ref="A24:C24"/>
    <mergeCell ref="D24:E24"/>
    <mergeCell ref="F24:G24"/>
    <mergeCell ref="H24:I24"/>
    <mergeCell ref="A25:C25"/>
    <mergeCell ref="D25:E25"/>
    <mergeCell ref="F25:G25"/>
    <mergeCell ref="H25:I25"/>
    <mergeCell ref="M9:N9"/>
    <mergeCell ref="L14:N15"/>
    <mergeCell ref="L16:N16"/>
    <mergeCell ref="A22:I22"/>
    <mergeCell ref="A23:C23"/>
    <mergeCell ref="D23:E23"/>
    <mergeCell ref="F23:G23"/>
    <mergeCell ref="H23:I23"/>
    <mergeCell ref="A9:B9"/>
    <mergeCell ref="C9:D9"/>
    <mergeCell ref="E9:F9"/>
    <mergeCell ref="G9:H9"/>
    <mergeCell ref="I9:J9"/>
    <mergeCell ref="K9:L9"/>
    <mergeCell ref="A28:C28"/>
    <mergeCell ref="D28:E28"/>
    <mergeCell ref="F28:G28"/>
    <mergeCell ref="H28:I28"/>
    <mergeCell ref="A29:C29"/>
    <mergeCell ref="D29:E29"/>
    <mergeCell ref="F29:G29"/>
    <mergeCell ref="H29:I29"/>
    <mergeCell ref="A26:C26"/>
    <mergeCell ref="D26:E26"/>
    <mergeCell ref="F26:G26"/>
    <mergeCell ref="H26:I26"/>
    <mergeCell ref="A27:C27"/>
    <mergeCell ref="D27:E27"/>
    <mergeCell ref="F27:G27"/>
    <mergeCell ref="H27:I27"/>
    <mergeCell ref="A30:C30"/>
    <mergeCell ref="D30:E30"/>
    <mergeCell ref="F30:G30"/>
    <mergeCell ref="H30:I30"/>
    <mergeCell ref="A32:I32"/>
    <mergeCell ref="A33:C33"/>
    <mergeCell ref="D33:E33"/>
    <mergeCell ref="F33:G33"/>
    <mergeCell ref="H33:I33"/>
    <mergeCell ref="A36:C36"/>
    <mergeCell ref="D36:E36"/>
    <mergeCell ref="F36:G36"/>
    <mergeCell ref="H36:I36"/>
    <mergeCell ref="A37:C37"/>
    <mergeCell ref="D37:E37"/>
    <mergeCell ref="F37:G37"/>
    <mergeCell ref="H37:I37"/>
    <mergeCell ref="A34:C34"/>
    <mergeCell ref="D34:E34"/>
    <mergeCell ref="F34:G34"/>
    <mergeCell ref="H34:I34"/>
    <mergeCell ref="A35:C35"/>
    <mergeCell ref="D35:E35"/>
    <mergeCell ref="F35:G35"/>
    <mergeCell ref="H35:I35"/>
    <mergeCell ref="A40:C40"/>
    <mergeCell ref="D40:E40"/>
    <mergeCell ref="F40:G40"/>
    <mergeCell ref="H40:I40"/>
    <mergeCell ref="A43:C43"/>
    <mergeCell ref="D43:E43"/>
    <mergeCell ref="F43:G43"/>
    <mergeCell ref="A38:C38"/>
    <mergeCell ref="D38:E38"/>
    <mergeCell ref="F38:G38"/>
    <mergeCell ref="H38:I38"/>
    <mergeCell ref="A39:C39"/>
    <mergeCell ref="D39:E39"/>
    <mergeCell ref="F39:G39"/>
    <mergeCell ref="H39:I39"/>
    <mergeCell ref="A46:C46"/>
    <mergeCell ref="D46:E46"/>
    <mergeCell ref="F46:G46"/>
    <mergeCell ref="A47:C47"/>
    <mergeCell ref="D47:E47"/>
    <mergeCell ref="F47:G47"/>
    <mergeCell ref="A44:C44"/>
    <mergeCell ref="D44:E44"/>
    <mergeCell ref="F44:G44"/>
    <mergeCell ref="A45:C45"/>
    <mergeCell ref="D45:E45"/>
    <mergeCell ref="F45:G45"/>
    <mergeCell ref="A50:C50"/>
    <mergeCell ref="D50:E50"/>
    <mergeCell ref="F50:G50"/>
    <mergeCell ref="A48:C48"/>
    <mergeCell ref="D48:E48"/>
    <mergeCell ref="F48:G48"/>
    <mergeCell ref="A49:C49"/>
    <mergeCell ref="D49:E49"/>
    <mergeCell ref="F49:G49"/>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sheetPr codeName="Sheet18">
    <tabColor indexed="41"/>
  </sheetPr>
  <dimension ref="A1:AG17"/>
  <sheetViews>
    <sheetView workbookViewId="0">
      <selection activeCell="E12" sqref="E12:F14"/>
    </sheetView>
  </sheetViews>
  <sheetFormatPr defaultColWidth="11.7109375" defaultRowHeight="18" customHeight="1"/>
  <cols>
    <col min="1" max="1" width="14.7109375" style="282" customWidth="1"/>
    <col min="2" max="2" width="9.28515625" style="282" customWidth="1"/>
    <col min="3" max="3" width="8.7109375" style="282" bestFit="1" customWidth="1"/>
    <col min="4" max="4" width="13.5703125" style="282" bestFit="1" customWidth="1"/>
    <col min="5" max="5" width="13.42578125" style="282" bestFit="1" customWidth="1"/>
    <col min="6" max="6" width="12.28515625" style="282" bestFit="1" customWidth="1"/>
    <col min="7" max="7" width="20" style="282" customWidth="1"/>
    <col min="8" max="8" width="9.140625" style="282" customWidth="1"/>
    <col min="9" max="9" width="9.5703125" style="282" bestFit="1" customWidth="1"/>
    <col min="10" max="10" width="8.85546875" style="282" hidden="1" customWidth="1"/>
    <col min="11" max="11" width="13.7109375" style="282" hidden="1" customWidth="1"/>
    <col min="12" max="12" width="11" style="282" hidden="1" customWidth="1"/>
    <col min="13" max="13" width="10.5703125" style="282" bestFit="1" customWidth="1"/>
    <col min="14" max="14" width="9.5703125" style="282" customWidth="1"/>
    <col min="15" max="15" width="11.85546875" style="282" bestFit="1" customWidth="1"/>
    <col min="16" max="16" width="11.42578125" style="282" hidden="1" customWidth="1"/>
    <col min="17" max="17" width="10.5703125" style="282" hidden="1" customWidth="1"/>
    <col min="18" max="19" width="12" style="282" hidden="1" customWidth="1"/>
    <col min="20" max="20" width="6.42578125" style="282" hidden="1" customWidth="1"/>
    <col min="21" max="21" width="9.42578125" style="282" hidden="1" customWidth="1"/>
    <col min="22" max="22" width="9.140625" style="282" hidden="1" customWidth="1"/>
    <col min="23" max="23" width="10.5703125" style="282" hidden="1" customWidth="1"/>
    <col min="24" max="24" width="9.140625" style="282" hidden="1" customWidth="1"/>
    <col min="25" max="26" width="11.28515625" style="282" hidden="1" customWidth="1"/>
    <col min="27" max="27" width="10.7109375" style="282" hidden="1" customWidth="1"/>
    <col min="28" max="28" width="11.28515625" style="282" hidden="1" customWidth="1"/>
    <col min="29" max="29" width="11.140625" style="282" hidden="1" customWidth="1"/>
    <col min="30" max="32" width="11.28515625" style="282" hidden="1" customWidth="1"/>
    <col min="33" max="33" width="9" style="282" hidden="1" customWidth="1"/>
    <col min="34" max="16384" width="11.7109375" style="282"/>
  </cols>
  <sheetData>
    <row r="1" spans="3:33" ht="18" customHeight="1">
      <c r="C1" s="284"/>
      <c r="D1" s="284"/>
      <c r="E1" s="284"/>
      <c r="F1" s="284"/>
      <c r="G1" s="284"/>
      <c r="H1" s="284"/>
      <c r="I1" s="284"/>
      <c r="J1" s="284"/>
      <c r="K1" s="284"/>
      <c r="L1" s="284"/>
    </row>
    <row r="2" spans="3:33" ht="18" customHeight="1">
      <c r="C2" s="495" t="s">
        <v>974</v>
      </c>
      <c r="D2" s="495"/>
      <c r="E2" s="495"/>
      <c r="F2" s="495"/>
      <c r="G2" s="495"/>
      <c r="H2" s="495"/>
      <c r="I2" s="495"/>
      <c r="J2" s="495"/>
      <c r="K2" s="495"/>
      <c r="L2" s="495"/>
      <c r="AF2" s="282" t="s">
        <v>975</v>
      </c>
      <c r="AG2" s="282" t="s">
        <v>976</v>
      </c>
    </row>
    <row r="3" spans="3:33" ht="18" customHeight="1" thickBot="1">
      <c r="C3" s="284"/>
      <c r="D3" s="284"/>
      <c r="E3" s="284"/>
      <c r="F3" s="284"/>
      <c r="G3" s="284"/>
      <c r="H3" s="284"/>
      <c r="I3" s="284"/>
      <c r="J3" s="284"/>
      <c r="K3" s="284"/>
      <c r="L3" s="284"/>
      <c r="AF3" s="282" t="s">
        <v>977</v>
      </c>
      <c r="AG3" s="282" t="s">
        <v>978</v>
      </c>
    </row>
    <row r="4" spans="3:33" ht="18" customHeight="1" thickBot="1">
      <c r="C4" s="496" t="s">
        <v>979</v>
      </c>
      <c r="D4" s="496"/>
      <c r="E4" s="496"/>
      <c r="F4" s="496"/>
      <c r="G4" s="496"/>
      <c r="H4" s="496"/>
      <c r="I4" s="285" t="s">
        <v>189</v>
      </c>
      <c r="J4" s="284"/>
      <c r="K4" s="284"/>
      <c r="L4" s="284"/>
      <c r="AF4" s="282" t="s">
        <v>980</v>
      </c>
      <c r="AG4" s="282" t="s">
        <v>981</v>
      </c>
    </row>
    <row r="5" spans="3:33" ht="18" customHeight="1">
      <c r="C5" s="496" t="s">
        <v>982</v>
      </c>
      <c r="D5" s="496"/>
      <c r="E5" s="496"/>
      <c r="F5" s="496"/>
      <c r="G5" s="496"/>
      <c r="H5" s="496"/>
      <c r="I5" s="284"/>
      <c r="J5" s="284"/>
      <c r="K5" s="284"/>
      <c r="L5" s="284"/>
      <c r="AF5" s="282" t="s">
        <v>983</v>
      </c>
      <c r="AG5" s="282" t="s">
        <v>984</v>
      </c>
    </row>
    <row r="6" spans="3:33" ht="73.5" customHeight="1">
      <c r="C6" s="490" t="s">
        <v>6</v>
      </c>
      <c r="D6" s="490"/>
      <c r="E6" s="490" t="s">
        <v>985</v>
      </c>
      <c r="F6" s="490"/>
      <c r="G6" s="497" t="s">
        <v>1121</v>
      </c>
      <c r="H6" s="497"/>
      <c r="I6" s="497"/>
      <c r="J6" s="284"/>
      <c r="K6" s="284"/>
      <c r="L6" s="284"/>
      <c r="AF6" s="282" t="s">
        <v>986</v>
      </c>
      <c r="AG6" s="282" t="s">
        <v>987</v>
      </c>
    </row>
    <row r="7" spans="3:33" ht="21" customHeight="1">
      <c r="C7" s="486" t="s">
        <v>1071</v>
      </c>
      <c r="D7" s="486"/>
      <c r="E7" s="487"/>
      <c r="F7" s="487"/>
      <c r="G7" s="497"/>
      <c r="H7" s="497"/>
      <c r="I7" s="497"/>
      <c r="J7" s="284"/>
      <c r="K7" s="284"/>
      <c r="L7" s="284"/>
      <c r="AF7" s="282" t="s">
        <v>988</v>
      </c>
      <c r="AG7" s="282" t="s">
        <v>989</v>
      </c>
    </row>
    <row r="8" spans="3:33" ht="18" customHeight="1">
      <c r="C8" s="486" t="s">
        <v>1118</v>
      </c>
      <c r="D8" s="486"/>
      <c r="E8" s="487"/>
      <c r="F8" s="487"/>
      <c r="G8" s="497"/>
      <c r="H8" s="497"/>
      <c r="I8" s="497"/>
      <c r="J8" s="284"/>
      <c r="K8" s="284"/>
      <c r="L8" s="284"/>
    </row>
    <row r="9" spans="3:33" ht="18" customHeight="1">
      <c r="C9" s="486" t="s">
        <v>1119</v>
      </c>
      <c r="D9" s="486"/>
      <c r="E9" s="487"/>
      <c r="F9" s="487"/>
      <c r="G9" s="497"/>
      <c r="H9" s="497"/>
      <c r="I9" s="497"/>
      <c r="J9" s="284"/>
      <c r="K9" s="284"/>
      <c r="L9" s="284"/>
    </row>
    <row r="11" spans="3:33" ht="95.25" customHeight="1">
      <c r="C11" s="490" t="s">
        <v>6</v>
      </c>
      <c r="D11" s="490"/>
      <c r="E11" s="491" t="s">
        <v>990</v>
      </c>
      <c r="F11" s="492"/>
      <c r="G11" s="286" t="s">
        <v>991</v>
      </c>
      <c r="H11" s="493" t="s">
        <v>992</v>
      </c>
      <c r="I11" s="494"/>
      <c r="K11" s="287" t="s">
        <v>993</v>
      </c>
    </row>
    <row r="12" spans="3:33" ht="18" customHeight="1">
      <c r="C12" s="486" t="str">
        <f>C7</f>
        <v>2019-2020</v>
      </c>
      <c r="D12" s="486"/>
      <c r="E12" s="487"/>
      <c r="F12" s="487"/>
      <c r="G12" s="283"/>
      <c r="H12" s="488">
        <f>E12+G12</f>
        <v>0</v>
      </c>
      <c r="I12" s="489"/>
      <c r="K12" s="288"/>
    </row>
    <row r="13" spans="3:33" ht="18" customHeight="1">
      <c r="C13" s="486" t="str">
        <f t="shared" ref="C13:C14" si="0">C8</f>
        <v>2018-2019</v>
      </c>
      <c r="D13" s="486"/>
      <c r="E13" s="487"/>
      <c r="F13" s="487"/>
      <c r="G13" s="283"/>
      <c r="H13" s="488">
        <f>E13+G13</f>
        <v>0</v>
      </c>
      <c r="I13" s="489"/>
      <c r="K13" s="288"/>
    </row>
    <row r="14" spans="3:33" ht="18" customHeight="1">
      <c r="C14" s="486" t="str">
        <f t="shared" si="0"/>
        <v>2017-2018</v>
      </c>
      <c r="D14" s="486"/>
      <c r="E14" s="487"/>
      <c r="F14" s="487"/>
      <c r="G14" s="283"/>
      <c r="H14" s="488">
        <f>E14+G14</f>
        <v>0</v>
      </c>
      <c r="I14" s="489"/>
      <c r="K14" s="288"/>
    </row>
    <row r="15" spans="3:33" ht="18" customHeight="1">
      <c r="C15" s="481" t="s">
        <v>587</v>
      </c>
      <c r="D15" s="481"/>
      <c r="E15" s="482">
        <f>SUM(E12:F14)</f>
        <v>0</v>
      </c>
      <c r="F15" s="482"/>
      <c r="G15" s="289">
        <f>SUM(G12:G14)</f>
        <v>0</v>
      </c>
      <c r="H15" s="483">
        <f>SUM(H12:I14)</f>
        <v>0</v>
      </c>
      <c r="I15" s="484"/>
      <c r="J15" s="290"/>
      <c r="K15" s="291">
        <f>SUM(K12:K14)</f>
        <v>0</v>
      </c>
    </row>
    <row r="17" spans="1:7" ht="18" customHeight="1">
      <c r="A17" s="485" t="s">
        <v>994</v>
      </c>
      <c r="B17" s="485"/>
      <c r="C17" s="485"/>
      <c r="D17" s="485"/>
      <c r="E17" s="485"/>
      <c r="F17" s="485"/>
      <c r="G17" s="292"/>
    </row>
  </sheetData>
  <sheetProtection password="F2F3" sheet="1" objects="1" scenarios="1"/>
  <mergeCells count="28">
    <mergeCell ref="C2:L2"/>
    <mergeCell ref="C4:H4"/>
    <mergeCell ref="C5:H5"/>
    <mergeCell ref="C6:D6"/>
    <mergeCell ref="E6:F6"/>
    <mergeCell ref="G6:I9"/>
    <mergeCell ref="C7:D7"/>
    <mergeCell ref="E7:F7"/>
    <mergeCell ref="C8:D8"/>
    <mergeCell ref="E8:F8"/>
    <mergeCell ref="C9:D9"/>
    <mergeCell ref="E9:F9"/>
    <mergeCell ref="C11:D11"/>
    <mergeCell ref="E11:F11"/>
    <mergeCell ref="H11:I11"/>
    <mergeCell ref="C12:D12"/>
    <mergeCell ref="E12:F12"/>
    <mergeCell ref="H12:I12"/>
    <mergeCell ref="C15:D15"/>
    <mergeCell ref="E15:F15"/>
    <mergeCell ref="H15:I15"/>
    <mergeCell ref="A17:F17"/>
    <mergeCell ref="C13:D13"/>
    <mergeCell ref="E13:F13"/>
    <mergeCell ref="H13:I13"/>
    <mergeCell ref="C14:D14"/>
    <mergeCell ref="E14:F14"/>
    <mergeCell ref="H14:I14"/>
  </mergeCells>
  <dataValidations count="1">
    <dataValidation type="list" allowBlank="1" showInputMessage="1" showErrorMessage="1" sqref="I4">
      <formula1>"Yes, No"</formula1>
    </dataValidation>
  </dataValidations>
  <printOptions horizontalCentered="1"/>
  <pageMargins left="0.15748031496063" right="0.15748031496063" top="0.98425196850393704" bottom="0.98425196850393704" header="0.511811023622047" footer="0.511811023622047"/>
  <pageSetup paperSize="9" scale="85" orientation="portrait" blackAndWhite="1" horizontalDpi="360" verticalDpi="360" r:id="rId1"/>
  <headerFooter alignWithMargins="0"/>
</worksheet>
</file>

<file path=xl/worksheets/sheet7.xml><?xml version="1.0" encoding="utf-8"?>
<worksheet xmlns="http://schemas.openxmlformats.org/spreadsheetml/2006/main" xmlns:r="http://schemas.openxmlformats.org/officeDocument/2006/relationships">
  <sheetPr codeName="Sheet1" enableFormatConditionsCalculation="0">
    <tabColor indexed="41"/>
  </sheetPr>
  <dimension ref="A1:N176"/>
  <sheetViews>
    <sheetView tabSelected="1" topLeftCell="A16" workbookViewId="0">
      <selection activeCell="I4" sqref="I4"/>
    </sheetView>
  </sheetViews>
  <sheetFormatPr defaultRowHeight="16.5"/>
  <cols>
    <col min="1" max="1" width="5.5703125" style="163" bestFit="1" customWidth="1"/>
    <col min="2" max="2" width="8.7109375" style="163" bestFit="1" customWidth="1"/>
    <col min="3" max="3" width="11.5703125" style="163" bestFit="1" customWidth="1"/>
    <col min="4" max="4" width="11" style="163" customWidth="1"/>
    <col min="5" max="5" width="8.42578125" style="163" bestFit="1" customWidth="1"/>
    <col min="6" max="6" width="13.5703125" style="163" customWidth="1"/>
    <col min="7" max="7" width="10.7109375" style="163" bestFit="1" customWidth="1"/>
    <col min="8" max="8" width="19.28515625" style="163" bestFit="1" customWidth="1"/>
    <col min="9" max="9" width="12.5703125" style="163" bestFit="1" customWidth="1"/>
    <col min="10" max="10" width="11.5703125" style="163" bestFit="1" customWidth="1"/>
    <col min="11" max="16384" width="9.140625" style="163"/>
  </cols>
  <sheetData>
    <row r="1" spans="1:10">
      <c r="A1" s="569" t="s">
        <v>490</v>
      </c>
      <c r="B1" s="569"/>
      <c r="C1" s="569"/>
      <c r="D1" s="569"/>
      <c r="E1" s="569"/>
      <c r="F1" s="569"/>
      <c r="G1" s="569"/>
      <c r="H1" s="569"/>
      <c r="I1" s="569"/>
    </row>
    <row r="2" spans="1:10">
      <c r="A2" s="570" t="str">
        <f>UPPER(IF(F14="","",IF(F14&lt;&gt;"",F14)))</f>
        <v/>
      </c>
      <c r="B2" s="570"/>
      <c r="C2" s="570"/>
      <c r="D2" s="570"/>
      <c r="E2" s="570"/>
      <c r="F2" s="570"/>
      <c r="G2" s="570"/>
      <c r="H2" s="570"/>
      <c r="I2" s="570"/>
    </row>
    <row r="3" spans="1:10">
      <c r="A3" s="571" t="s">
        <v>0</v>
      </c>
      <c r="B3" s="571"/>
      <c r="C3" s="571"/>
      <c r="D3" s="571"/>
      <c r="E3" s="571"/>
      <c r="F3" s="571"/>
      <c r="G3" s="571"/>
      <c r="H3" s="571"/>
      <c r="I3" s="571"/>
    </row>
    <row r="4" spans="1:10" ht="26.25" customHeight="1">
      <c r="A4" s="790" t="s">
        <v>1145</v>
      </c>
      <c r="B4" s="790"/>
      <c r="C4" s="790"/>
      <c r="D4" s="791" t="s">
        <v>1151</v>
      </c>
      <c r="E4" s="792"/>
      <c r="F4" s="792"/>
      <c r="G4" s="792"/>
      <c r="H4" s="792"/>
      <c r="I4" s="345" t="s">
        <v>123</v>
      </c>
    </row>
    <row r="5" spans="1:10" ht="24" customHeight="1">
      <c r="A5" s="594" t="s">
        <v>1044</v>
      </c>
      <c r="B5" s="595"/>
      <c r="C5" s="155"/>
      <c r="D5" s="178" t="s">
        <v>1052</v>
      </c>
      <c r="E5" s="156"/>
      <c r="F5" s="179" t="s">
        <v>1067</v>
      </c>
      <c r="G5" s="157"/>
      <c r="H5" s="180" t="s">
        <v>853</v>
      </c>
      <c r="I5" s="177"/>
    </row>
    <row r="6" spans="1:10" hidden="1">
      <c r="A6" s="593"/>
      <c r="B6" s="593"/>
      <c r="C6" s="593"/>
      <c r="D6" s="593"/>
      <c r="E6" s="593"/>
      <c r="F6" s="593"/>
      <c r="G6" s="593"/>
      <c r="H6" s="593"/>
      <c r="I6" s="593"/>
    </row>
    <row r="7" spans="1:10">
      <c r="A7" s="140">
        <v>1</v>
      </c>
      <c r="B7" s="506" t="s">
        <v>2</v>
      </c>
      <c r="C7" s="506"/>
      <c r="D7" s="506"/>
      <c r="E7" s="506"/>
      <c r="F7" s="572"/>
      <c r="G7" s="572"/>
      <c r="H7" s="572"/>
      <c r="I7" s="572"/>
    </row>
    <row r="8" spans="1:10">
      <c r="A8" s="140">
        <v>2</v>
      </c>
      <c r="B8" s="503" t="s">
        <v>219</v>
      </c>
      <c r="C8" s="504"/>
      <c r="D8" s="504"/>
      <c r="E8" s="505"/>
      <c r="F8" s="596"/>
      <c r="G8" s="597"/>
      <c r="H8" s="597"/>
      <c r="I8" s="598"/>
    </row>
    <row r="9" spans="1:10">
      <c r="A9" s="140">
        <v>3</v>
      </c>
      <c r="B9" s="506" t="s">
        <v>3</v>
      </c>
      <c r="C9" s="506"/>
      <c r="D9" s="506"/>
      <c r="E9" s="506"/>
      <c r="F9" s="599"/>
      <c r="G9" s="599"/>
      <c r="H9" s="599"/>
      <c r="I9" s="599"/>
    </row>
    <row r="10" spans="1:10">
      <c r="A10" s="140">
        <v>4</v>
      </c>
      <c r="B10" s="506" t="s">
        <v>4</v>
      </c>
      <c r="C10" s="506"/>
      <c r="D10" s="506"/>
      <c r="E10" s="506"/>
      <c r="F10" s="556"/>
      <c r="G10" s="556"/>
      <c r="H10" s="556"/>
      <c r="I10" s="556"/>
    </row>
    <row r="11" spans="1:10">
      <c r="A11" s="140">
        <v>5</v>
      </c>
      <c r="B11" s="503" t="s">
        <v>806</v>
      </c>
      <c r="C11" s="504"/>
      <c r="D11" s="504"/>
      <c r="E11" s="505"/>
      <c r="F11" s="579"/>
      <c r="G11" s="580"/>
      <c r="H11" s="164" t="s">
        <v>1112</v>
      </c>
      <c r="I11" s="154" t="str">
        <f>IF(F11="","",(IF(DAY("31/03/2021")&gt;=DAY(F11),0,-1)+(YEAR("31/03/2021")-YEAR(F11))
*12+MONTH("31/03/2019")-MONTH(F11))/12)</f>
        <v/>
      </c>
      <c r="J11" s="165"/>
    </row>
    <row r="12" spans="1:10">
      <c r="A12" s="140">
        <v>6</v>
      </c>
      <c r="B12" s="503" t="s">
        <v>807</v>
      </c>
      <c r="C12" s="504"/>
      <c r="D12" s="504"/>
      <c r="E12" s="505"/>
      <c r="F12" s="581" t="str">
        <f>IF(I11="","",IF(I11&lt;60,"Resident Individual",IF(AND(I11&gt;=60,I11&lt;80),"Resident Senior Citizen","Resident Very Senior Citizen")))</f>
        <v/>
      </c>
      <c r="G12" s="582"/>
      <c r="H12" s="582"/>
      <c r="I12" s="583"/>
      <c r="J12" s="165"/>
    </row>
    <row r="13" spans="1:10" ht="30.75" customHeight="1">
      <c r="A13" s="140">
        <v>7</v>
      </c>
      <c r="B13" s="535" t="s">
        <v>254</v>
      </c>
      <c r="C13" s="536"/>
      <c r="D13" s="536"/>
      <c r="E13" s="537"/>
      <c r="F13" s="584"/>
      <c r="G13" s="585"/>
      <c r="H13" s="585"/>
      <c r="I13" s="586"/>
    </row>
    <row r="14" spans="1:10" ht="21.75" customHeight="1">
      <c r="A14" s="140">
        <v>8</v>
      </c>
      <c r="B14" s="506" t="s">
        <v>5</v>
      </c>
      <c r="C14" s="506"/>
      <c r="D14" s="506"/>
      <c r="E14" s="506"/>
      <c r="F14" s="587"/>
      <c r="G14" s="588"/>
      <c r="H14" s="588"/>
      <c r="I14" s="589"/>
    </row>
    <row r="15" spans="1:10" ht="42" customHeight="1">
      <c r="A15" s="140">
        <v>9</v>
      </c>
      <c r="B15" s="503" t="s">
        <v>281</v>
      </c>
      <c r="C15" s="504"/>
      <c r="D15" s="504"/>
      <c r="E15" s="505"/>
      <c r="F15" s="590"/>
      <c r="G15" s="591"/>
      <c r="H15" s="591"/>
      <c r="I15" s="592"/>
    </row>
    <row r="16" spans="1:10">
      <c r="A16" s="140">
        <v>10</v>
      </c>
      <c r="B16" s="503" t="s">
        <v>291</v>
      </c>
      <c r="C16" s="504"/>
      <c r="D16" s="504"/>
      <c r="E16" s="505"/>
      <c r="F16" s="500"/>
      <c r="G16" s="501"/>
      <c r="H16" s="501"/>
      <c r="I16" s="502"/>
    </row>
    <row r="17" spans="1:9" ht="44.25" customHeight="1">
      <c r="A17" s="140">
        <v>11</v>
      </c>
      <c r="B17" s="573" t="s">
        <v>961</v>
      </c>
      <c r="C17" s="574"/>
      <c r="D17" s="574"/>
      <c r="E17" s="575"/>
      <c r="F17" s="576"/>
      <c r="G17" s="577"/>
      <c r="H17" s="577"/>
      <c r="I17" s="578"/>
    </row>
    <row r="18" spans="1:9" ht="36.75" customHeight="1">
      <c r="A18" s="140">
        <v>12</v>
      </c>
      <c r="B18" s="564" t="s">
        <v>663</v>
      </c>
      <c r="C18" s="565"/>
      <c r="D18" s="565"/>
      <c r="E18" s="566"/>
      <c r="F18" s="510"/>
      <c r="G18" s="510"/>
      <c r="H18" s="511" t="str">
        <f>IF(F18="","","Select "&amp;LOOKUP(F18,'CIT-TDS'!A43:B148,'CIT-TDS'!B43:B148)&amp;" in F17")</f>
        <v/>
      </c>
      <c r="I18" s="512"/>
    </row>
    <row r="19" spans="1:9">
      <c r="A19" s="140">
        <v>13</v>
      </c>
      <c r="B19" s="503" t="s">
        <v>320</v>
      </c>
      <c r="C19" s="504"/>
      <c r="D19" s="504"/>
      <c r="E19" s="505"/>
      <c r="F19" s="159" t="s">
        <v>136</v>
      </c>
      <c r="G19" s="158">
        <v>43922</v>
      </c>
      <c r="H19" s="159" t="s">
        <v>137</v>
      </c>
      <c r="I19" s="158">
        <v>44286</v>
      </c>
    </row>
    <row r="20" spans="1:9">
      <c r="A20" s="140">
        <v>14</v>
      </c>
      <c r="B20" s="506" t="s">
        <v>1057</v>
      </c>
      <c r="C20" s="506"/>
      <c r="D20" s="506"/>
      <c r="E20" s="506"/>
      <c r="F20" s="599"/>
      <c r="G20" s="599"/>
      <c r="H20" s="599"/>
      <c r="I20" s="599"/>
    </row>
    <row r="21" spans="1:9" ht="16.5" customHeight="1">
      <c r="A21" s="140">
        <v>15</v>
      </c>
      <c r="B21" s="506" t="s">
        <v>284</v>
      </c>
      <c r="C21" s="506"/>
      <c r="D21" s="506"/>
      <c r="E21" s="506"/>
      <c r="F21" s="599"/>
      <c r="G21" s="599"/>
      <c r="H21" s="599"/>
      <c r="I21" s="599"/>
    </row>
    <row r="22" spans="1:9">
      <c r="A22" s="140">
        <v>16</v>
      </c>
      <c r="B22" s="506" t="s">
        <v>1047</v>
      </c>
      <c r="C22" s="506"/>
      <c r="D22" s="506"/>
      <c r="E22" s="506"/>
      <c r="F22" s="601"/>
      <c r="G22" s="601"/>
      <c r="H22" s="601"/>
      <c r="I22" s="601"/>
    </row>
    <row r="23" spans="1:9" ht="34.5" customHeight="1">
      <c r="A23" s="140">
        <v>17</v>
      </c>
      <c r="B23" s="506" t="s">
        <v>588</v>
      </c>
      <c r="C23" s="506"/>
      <c r="D23" s="506"/>
      <c r="E23" s="506"/>
      <c r="F23" s="602" t="str">
        <f>IF(F17="","",'Form 16 Revised'!B10 &amp;"," &amp;   'Form 16 Revised'!B11 &amp;  'Form 16 Revised'!E11)</f>
        <v/>
      </c>
      <c r="G23" s="603"/>
      <c r="H23" s="603"/>
      <c r="I23" s="604"/>
    </row>
    <row r="24" spans="1:9">
      <c r="A24" s="140">
        <v>18</v>
      </c>
      <c r="B24" s="506" t="s">
        <v>6</v>
      </c>
      <c r="C24" s="506"/>
      <c r="D24" s="506"/>
      <c r="E24" s="506"/>
      <c r="F24" s="556" t="s">
        <v>1104</v>
      </c>
      <c r="G24" s="556"/>
      <c r="H24" s="556"/>
      <c r="I24" s="556"/>
    </row>
    <row r="25" spans="1:9">
      <c r="A25" s="140">
        <v>19</v>
      </c>
      <c r="B25" s="506" t="s">
        <v>7</v>
      </c>
      <c r="C25" s="506"/>
      <c r="D25" s="506"/>
      <c r="E25" s="506"/>
      <c r="F25" s="556" t="s">
        <v>1120</v>
      </c>
      <c r="G25" s="556"/>
      <c r="H25" s="556"/>
      <c r="I25" s="556"/>
    </row>
    <row r="26" spans="1:9">
      <c r="A26" s="140">
        <v>20</v>
      </c>
      <c r="B26" s="506" t="s">
        <v>8</v>
      </c>
      <c r="C26" s="506"/>
      <c r="D26" s="506"/>
      <c r="E26" s="506"/>
      <c r="F26" s="525" t="s">
        <v>167</v>
      </c>
      <c r="G26" s="525"/>
      <c r="H26" s="525"/>
      <c r="I26" s="525"/>
    </row>
    <row r="27" spans="1:9" ht="31.5" hidden="1" customHeight="1">
      <c r="A27" s="140">
        <v>21</v>
      </c>
      <c r="B27" s="523" t="s">
        <v>1043</v>
      </c>
      <c r="C27" s="523"/>
      <c r="D27" s="523"/>
      <c r="E27" s="523"/>
      <c r="F27" s="524" t="s">
        <v>1042</v>
      </c>
      <c r="G27" s="524"/>
      <c r="H27" s="524"/>
      <c r="I27" s="524"/>
    </row>
    <row r="28" spans="1:9" hidden="1">
      <c r="A28" s="140">
        <v>22</v>
      </c>
      <c r="B28" s="520" t="s">
        <v>501</v>
      </c>
      <c r="C28" s="521"/>
      <c r="D28" s="521"/>
      <c r="E28" s="522"/>
      <c r="F28" s="607">
        <v>0</v>
      </c>
      <c r="G28" s="608"/>
      <c r="H28" s="608"/>
      <c r="I28" s="609"/>
    </row>
    <row r="29" spans="1:9">
      <c r="A29" s="140">
        <v>23</v>
      </c>
      <c r="B29" s="506" t="s">
        <v>180</v>
      </c>
      <c r="C29" s="506"/>
      <c r="D29" s="506"/>
      <c r="E29" s="506"/>
      <c r="F29" s="606"/>
      <c r="G29" s="606"/>
      <c r="H29" s="606"/>
      <c r="I29" s="606"/>
    </row>
    <row r="30" spans="1:9">
      <c r="A30" s="140">
        <v>24</v>
      </c>
      <c r="B30" s="506" t="s">
        <v>168</v>
      </c>
      <c r="C30" s="506"/>
      <c r="D30" s="506"/>
      <c r="E30" s="506"/>
      <c r="F30" s="556" t="s">
        <v>189</v>
      </c>
      <c r="G30" s="556"/>
      <c r="H30" s="556"/>
      <c r="I30" s="556"/>
    </row>
    <row r="31" spans="1:9">
      <c r="A31" s="140">
        <v>25</v>
      </c>
      <c r="B31" s="506" t="s">
        <v>169</v>
      </c>
      <c r="C31" s="506"/>
      <c r="D31" s="506"/>
      <c r="E31" s="506"/>
      <c r="F31" s="605">
        <v>0.09</v>
      </c>
      <c r="G31" s="605"/>
      <c r="H31" s="605"/>
      <c r="I31" s="605"/>
    </row>
    <row r="32" spans="1:9">
      <c r="A32" s="140">
        <v>26</v>
      </c>
      <c r="B32" s="506" t="s">
        <v>183</v>
      </c>
      <c r="C32" s="506"/>
      <c r="D32" s="506"/>
      <c r="E32" s="506"/>
      <c r="F32" s="552"/>
      <c r="G32" s="552"/>
      <c r="H32" s="552"/>
      <c r="I32" s="552"/>
    </row>
    <row r="33" spans="1:9">
      <c r="A33" s="140">
        <v>27</v>
      </c>
      <c r="B33" s="506" t="s">
        <v>914</v>
      </c>
      <c r="C33" s="506"/>
      <c r="D33" s="506"/>
      <c r="E33" s="506"/>
      <c r="F33" s="552"/>
      <c r="G33" s="552"/>
      <c r="H33" s="552"/>
      <c r="I33" s="552"/>
    </row>
    <row r="34" spans="1:9">
      <c r="A34" s="140">
        <v>28</v>
      </c>
      <c r="B34" s="538" t="s">
        <v>494</v>
      </c>
      <c r="C34" s="539"/>
      <c r="D34" s="539"/>
      <c r="E34" s="540"/>
      <c r="F34" s="518"/>
      <c r="G34" s="550"/>
      <c r="H34" s="550"/>
      <c r="I34" s="519"/>
    </row>
    <row r="35" spans="1:9" ht="16.5" customHeight="1">
      <c r="A35" s="725" t="s">
        <v>854</v>
      </c>
      <c r="B35" s="726"/>
      <c r="C35" s="726"/>
      <c r="D35" s="726"/>
      <c r="E35" s="727"/>
      <c r="F35" s="553"/>
      <c r="G35" s="554"/>
      <c r="H35" s="554"/>
      <c r="I35" s="555"/>
    </row>
    <row r="36" spans="1:9" ht="33" customHeight="1">
      <c r="A36" s="140">
        <v>29</v>
      </c>
      <c r="B36" s="544" t="s">
        <v>184</v>
      </c>
      <c r="C36" s="544"/>
      <c r="D36" s="544"/>
      <c r="E36" s="544"/>
      <c r="F36" s="552">
        <v>0</v>
      </c>
      <c r="G36" s="552"/>
      <c r="H36" s="552"/>
      <c r="I36" s="552"/>
    </row>
    <row r="37" spans="1:9">
      <c r="A37" s="725" t="s">
        <v>965</v>
      </c>
      <c r="B37" s="733"/>
      <c r="C37" s="733"/>
      <c r="D37" s="733"/>
      <c r="E37" s="734"/>
      <c r="F37" s="553"/>
      <c r="G37" s="554"/>
      <c r="H37" s="554"/>
      <c r="I37" s="555"/>
    </row>
    <row r="38" spans="1:9" ht="44.25" customHeight="1">
      <c r="A38" s="140">
        <v>29</v>
      </c>
      <c r="B38" s="558" t="s">
        <v>514</v>
      </c>
      <c r="C38" s="559"/>
      <c r="D38" s="559"/>
      <c r="E38" s="560"/>
      <c r="F38" s="518">
        <v>0</v>
      </c>
      <c r="G38" s="550"/>
      <c r="H38" s="550"/>
      <c r="I38" s="519"/>
    </row>
    <row r="39" spans="1:9" ht="30" customHeight="1">
      <c r="A39" s="140">
        <v>30</v>
      </c>
      <c r="B39" s="551" t="s">
        <v>830</v>
      </c>
      <c r="C39" s="551"/>
      <c r="D39" s="551"/>
      <c r="E39" s="551"/>
      <c r="F39" s="624" t="s">
        <v>123</v>
      </c>
      <c r="G39" s="624"/>
      <c r="H39" s="624"/>
      <c r="I39" s="624"/>
    </row>
    <row r="40" spans="1:9" ht="30" customHeight="1">
      <c r="A40" s="140">
        <v>31</v>
      </c>
      <c r="B40" s="551" t="str">
        <f xml:space="preserve"> "If Yes for S.No.30, is it for the full financial year " &amp; F24 &amp; " or for part of the year?"</f>
        <v>If Yes for S.No.30, is it for the full financial year 2020-2021 or for part of the year?</v>
      </c>
      <c r="C40" s="551"/>
      <c r="D40" s="551"/>
      <c r="E40" s="551"/>
      <c r="F40" s="507" t="s">
        <v>1056</v>
      </c>
      <c r="G40" s="508"/>
      <c r="H40" s="508"/>
      <c r="I40" s="509"/>
    </row>
    <row r="41" spans="1:9" ht="30" customHeight="1">
      <c r="A41" s="140">
        <v>32</v>
      </c>
      <c r="B41" s="564" t="s">
        <v>832</v>
      </c>
      <c r="C41" s="565"/>
      <c r="D41" s="565"/>
      <c r="E41" s="566"/>
      <c r="F41" s="621"/>
      <c r="G41" s="622"/>
      <c r="H41" s="622"/>
      <c r="I41" s="623"/>
    </row>
    <row r="42" spans="1:9" ht="28.5" customHeight="1">
      <c r="A42" s="140">
        <v>32</v>
      </c>
      <c r="B42" s="564" t="s">
        <v>834</v>
      </c>
      <c r="C42" s="565"/>
      <c r="D42" s="565"/>
      <c r="E42" s="565"/>
      <c r="F42" s="565"/>
      <c r="G42" s="565"/>
      <c r="H42" s="565"/>
      <c r="I42" s="566"/>
    </row>
    <row r="43" spans="1:9">
      <c r="A43" s="141" t="s">
        <v>10</v>
      </c>
      <c r="B43" s="257">
        <f>'Earnings Sheet'!C5</f>
        <v>43922</v>
      </c>
      <c r="C43" s="257">
        <f>'Earnings Sheet'!C6</f>
        <v>43952</v>
      </c>
      <c r="D43" s="257">
        <f>'Earnings Sheet'!C7</f>
        <v>43983</v>
      </c>
      <c r="E43" s="257">
        <f>'Earnings Sheet'!C8</f>
        <v>44013</v>
      </c>
      <c r="F43" s="257">
        <f>'Earnings Sheet'!C9</f>
        <v>44044</v>
      </c>
      <c r="G43" s="257">
        <f>'Earnings Sheet'!C10</f>
        <v>44075</v>
      </c>
      <c r="H43" s="257">
        <f>'Earnings Sheet'!C11</f>
        <v>44105</v>
      </c>
      <c r="I43" s="257">
        <f>'Earnings Sheet'!C12</f>
        <v>44136</v>
      </c>
    </row>
    <row r="44" spans="1:9">
      <c r="A44" s="141" t="s">
        <v>833</v>
      </c>
      <c r="B44" s="171">
        <v>0</v>
      </c>
      <c r="C44" s="171">
        <v>0</v>
      </c>
      <c r="D44" s="171">
        <v>0</v>
      </c>
      <c r="E44" s="171">
        <v>0</v>
      </c>
      <c r="F44" s="160">
        <v>0</v>
      </c>
      <c r="G44" s="160">
        <v>0</v>
      </c>
      <c r="H44" s="160">
        <v>0</v>
      </c>
      <c r="I44" s="160">
        <v>0</v>
      </c>
    </row>
    <row r="45" spans="1:9">
      <c r="A45" s="141" t="s">
        <v>10</v>
      </c>
      <c r="B45" s="257">
        <f>'Earnings Sheet'!C13</f>
        <v>44166</v>
      </c>
      <c r="C45" s="257">
        <f>'Earnings Sheet'!C14</f>
        <v>44197</v>
      </c>
      <c r="D45" s="257">
        <f>'Earnings Sheet'!C15</f>
        <v>44228</v>
      </c>
      <c r="E45" s="257">
        <f>'Earnings Sheet'!C16</f>
        <v>44256</v>
      </c>
      <c r="F45" s="731"/>
      <c r="G45" s="705"/>
      <c r="H45" s="705"/>
      <c r="I45" s="706"/>
    </row>
    <row r="46" spans="1:9">
      <c r="A46" s="141" t="s">
        <v>833</v>
      </c>
      <c r="B46" s="171">
        <v>0</v>
      </c>
      <c r="C46" s="171">
        <v>0</v>
      </c>
      <c r="D46" s="171">
        <v>0</v>
      </c>
      <c r="E46" s="171">
        <v>0</v>
      </c>
      <c r="F46" s="732"/>
      <c r="G46" s="707"/>
      <c r="H46" s="707"/>
      <c r="I46" s="708"/>
    </row>
    <row r="47" spans="1:9" ht="32.25" customHeight="1">
      <c r="A47" s="140">
        <v>32</v>
      </c>
      <c r="B47" s="503" t="s">
        <v>841</v>
      </c>
      <c r="C47" s="504"/>
      <c r="D47" s="504"/>
      <c r="E47" s="505"/>
      <c r="F47" s="728">
        <v>0</v>
      </c>
      <c r="G47" s="729"/>
      <c r="H47" s="729"/>
      <c r="I47" s="730"/>
    </row>
    <row r="48" spans="1:9">
      <c r="A48" s="140">
        <v>33</v>
      </c>
      <c r="B48" s="503" t="s">
        <v>226</v>
      </c>
      <c r="C48" s="504"/>
      <c r="D48" s="504"/>
      <c r="E48" s="505"/>
      <c r="F48" s="561"/>
      <c r="G48" s="562"/>
      <c r="H48" s="562"/>
      <c r="I48" s="563"/>
    </row>
    <row r="49" spans="1:10">
      <c r="A49" s="140">
        <v>34</v>
      </c>
      <c r="B49" s="506" t="s">
        <v>185</v>
      </c>
      <c r="C49" s="506"/>
      <c r="D49" s="506"/>
      <c r="E49" s="506"/>
      <c r="F49" s="557">
        <v>0</v>
      </c>
      <c r="G49" s="557"/>
      <c r="H49" s="557"/>
      <c r="I49" s="557"/>
    </row>
    <row r="50" spans="1:10">
      <c r="A50" s="676">
        <v>35</v>
      </c>
      <c r="B50" s="529" t="s">
        <v>842</v>
      </c>
      <c r="C50" s="530"/>
      <c r="D50" s="530"/>
      <c r="E50" s="531"/>
      <c r="F50" s="567" t="s">
        <v>123</v>
      </c>
      <c r="G50" s="548" t="s">
        <v>849</v>
      </c>
      <c r="H50" s="146" t="s">
        <v>136</v>
      </c>
      <c r="I50" s="146" t="s">
        <v>137</v>
      </c>
    </row>
    <row r="51" spans="1:10" ht="39.75" customHeight="1">
      <c r="A51" s="677"/>
      <c r="B51" s="532"/>
      <c r="C51" s="533"/>
      <c r="D51" s="533"/>
      <c r="E51" s="534"/>
      <c r="F51" s="568"/>
      <c r="G51" s="549"/>
      <c r="H51" s="161">
        <v>43922</v>
      </c>
      <c r="I51" s="161">
        <v>44286</v>
      </c>
      <c r="J51" s="137"/>
    </row>
    <row r="52" spans="1:10" ht="33" customHeight="1">
      <c r="A52" s="140">
        <v>36</v>
      </c>
      <c r="B52" s="545" t="s">
        <v>466</v>
      </c>
      <c r="C52" s="506"/>
      <c r="D52" s="506"/>
      <c r="E52" s="506"/>
      <c r="F52" s="556" t="s">
        <v>476</v>
      </c>
      <c r="G52" s="556"/>
      <c r="H52" s="556"/>
      <c r="I52" s="556"/>
    </row>
    <row r="53" spans="1:10">
      <c r="A53" s="676">
        <v>37</v>
      </c>
      <c r="B53" s="529" t="s">
        <v>850</v>
      </c>
      <c r="C53" s="530"/>
      <c r="D53" s="530"/>
      <c r="E53" s="531"/>
      <c r="F53" s="546" t="s">
        <v>123</v>
      </c>
      <c r="G53" s="548" t="s">
        <v>849</v>
      </c>
      <c r="H53" s="146" t="str">
        <f>H50</f>
        <v>From</v>
      </c>
      <c r="I53" s="146" t="str">
        <f>I50</f>
        <v>To</v>
      </c>
    </row>
    <row r="54" spans="1:10" ht="42" customHeight="1">
      <c r="A54" s="677"/>
      <c r="B54" s="532"/>
      <c r="C54" s="533"/>
      <c r="D54" s="533"/>
      <c r="E54" s="534"/>
      <c r="F54" s="547"/>
      <c r="G54" s="549"/>
      <c r="H54" s="161">
        <v>43922</v>
      </c>
      <c r="I54" s="161">
        <v>44286</v>
      </c>
    </row>
    <row r="55" spans="1:10" ht="21" customHeight="1">
      <c r="A55" s="140">
        <v>38</v>
      </c>
      <c r="B55" s="503" t="s">
        <v>467</v>
      </c>
      <c r="C55" s="504"/>
      <c r="D55" s="504"/>
      <c r="E55" s="504"/>
      <c r="F55" s="504"/>
      <c r="G55" s="504"/>
      <c r="H55" s="504"/>
      <c r="I55" s="505"/>
    </row>
    <row r="56" spans="1:10">
      <c r="A56" s="141" t="s">
        <v>10</v>
      </c>
      <c r="B56" s="257">
        <f t="shared" ref="B56:I56" si="0">B43</f>
        <v>43922</v>
      </c>
      <c r="C56" s="257">
        <f t="shared" si="0"/>
        <v>43952</v>
      </c>
      <c r="D56" s="257">
        <f t="shared" si="0"/>
        <v>43983</v>
      </c>
      <c r="E56" s="257">
        <f t="shared" si="0"/>
        <v>44013</v>
      </c>
      <c r="F56" s="257">
        <f t="shared" si="0"/>
        <v>44044</v>
      </c>
      <c r="G56" s="257">
        <f t="shared" si="0"/>
        <v>44075</v>
      </c>
      <c r="H56" s="257">
        <f t="shared" si="0"/>
        <v>44105</v>
      </c>
      <c r="I56" s="257">
        <f t="shared" si="0"/>
        <v>44136</v>
      </c>
    </row>
    <row r="57" spans="1:10">
      <c r="A57" s="141" t="s">
        <v>833</v>
      </c>
      <c r="B57" s="171"/>
      <c r="C57" s="171"/>
      <c r="D57" s="171"/>
      <c r="E57" s="171"/>
      <c r="F57" s="171"/>
      <c r="G57" s="171"/>
      <c r="H57" s="171"/>
      <c r="I57" s="171"/>
    </row>
    <row r="58" spans="1:10">
      <c r="A58" s="141" t="s">
        <v>10</v>
      </c>
      <c r="B58" s="257">
        <f>B45</f>
        <v>44166</v>
      </c>
      <c r="C58" s="257">
        <f>C45</f>
        <v>44197</v>
      </c>
      <c r="D58" s="257">
        <f>D45</f>
        <v>44228</v>
      </c>
      <c r="E58" s="257">
        <f>E45</f>
        <v>44256</v>
      </c>
      <c r="F58" s="166" t="s">
        <v>26</v>
      </c>
      <c r="G58" s="705"/>
      <c r="H58" s="705"/>
      <c r="I58" s="706"/>
    </row>
    <row r="59" spans="1:10">
      <c r="A59" s="141" t="s">
        <v>833</v>
      </c>
      <c r="B59" s="171"/>
      <c r="C59" s="171"/>
      <c r="D59" s="171"/>
      <c r="E59" s="171"/>
      <c r="F59" s="167">
        <f>SUM(B57:I57)+SUM(B59:E59)</f>
        <v>0</v>
      </c>
      <c r="G59" s="707"/>
      <c r="H59" s="707"/>
      <c r="I59" s="708"/>
    </row>
    <row r="60" spans="1:10" ht="51.75" hidden="1" customHeight="1">
      <c r="A60" s="140">
        <v>39</v>
      </c>
      <c r="B60" s="506" t="s">
        <v>468</v>
      </c>
      <c r="C60" s="506"/>
      <c r="D60" s="506"/>
      <c r="E60" s="506"/>
      <c r="F60" s="614" t="s">
        <v>189</v>
      </c>
      <c r="G60" s="614"/>
      <c r="H60" s="614"/>
      <c r="I60" s="614"/>
    </row>
    <row r="61" spans="1:10" ht="51.75" hidden="1" customHeight="1">
      <c r="A61" s="140">
        <v>40</v>
      </c>
      <c r="B61" s="746" t="s">
        <v>469</v>
      </c>
      <c r="C61" s="747"/>
      <c r="D61" s="747"/>
      <c r="E61" s="748"/>
      <c r="F61" s="552">
        <v>12000</v>
      </c>
      <c r="G61" s="552"/>
      <c r="H61" s="552"/>
      <c r="I61" s="552"/>
    </row>
    <row r="62" spans="1:10" ht="33" customHeight="1">
      <c r="A62" s="140">
        <v>41</v>
      </c>
      <c r="B62" s="506" t="s">
        <v>916</v>
      </c>
      <c r="C62" s="506"/>
      <c r="D62" s="506"/>
      <c r="E62" s="506"/>
      <c r="F62" s="556" t="s">
        <v>123</v>
      </c>
      <c r="G62" s="556"/>
      <c r="H62" s="556"/>
      <c r="I62" s="556"/>
    </row>
    <row r="63" spans="1:10">
      <c r="A63" s="140">
        <v>42</v>
      </c>
      <c r="B63" s="506" t="s">
        <v>170</v>
      </c>
      <c r="C63" s="506"/>
      <c r="D63" s="506"/>
      <c r="E63" s="506"/>
      <c r="F63" s="552"/>
      <c r="G63" s="552"/>
      <c r="H63" s="552"/>
      <c r="I63" s="552"/>
    </row>
    <row r="64" spans="1:10">
      <c r="A64" s="140">
        <v>43</v>
      </c>
      <c r="B64" s="506" t="s">
        <v>171</v>
      </c>
      <c r="C64" s="506"/>
      <c r="D64" s="506"/>
      <c r="E64" s="506"/>
      <c r="F64" s="556" t="s">
        <v>123</v>
      </c>
      <c r="G64" s="556"/>
      <c r="H64" s="556"/>
      <c r="I64" s="556"/>
    </row>
    <row r="65" spans="1:14">
      <c r="A65" s="140">
        <v>44</v>
      </c>
      <c r="B65" s="506" t="s">
        <v>172</v>
      </c>
      <c r="C65" s="506"/>
      <c r="D65" s="506"/>
      <c r="E65" s="506"/>
      <c r="F65" s="556" t="s">
        <v>123</v>
      </c>
      <c r="G65" s="556"/>
      <c r="H65" s="556"/>
      <c r="I65" s="556"/>
    </row>
    <row r="66" spans="1:14">
      <c r="A66" s="140">
        <v>45</v>
      </c>
      <c r="B66" s="506" t="s">
        <v>175</v>
      </c>
      <c r="C66" s="506"/>
      <c r="D66" s="506"/>
      <c r="E66" s="506"/>
      <c r="F66" s="600"/>
      <c r="G66" s="600"/>
      <c r="H66" s="600"/>
      <c r="I66" s="600"/>
    </row>
    <row r="67" spans="1:14">
      <c r="A67" s="140">
        <v>46</v>
      </c>
      <c r="B67" s="615" t="s">
        <v>173</v>
      </c>
      <c r="C67" s="615"/>
      <c r="D67" s="615"/>
      <c r="E67" s="615"/>
      <c r="F67" s="556" t="s">
        <v>123</v>
      </c>
      <c r="G67" s="556"/>
      <c r="H67" s="556"/>
      <c r="I67" s="556"/>
    </row>
    <row r="68" spans="1:14">
      <c r="A68" s="140">
        <v>47</v>
      </c>
      <c r="B68" s="615" t="s">
        <v>174</v>
      </c>
      <c r="C68" s="615"/>
      <c r="D68" s="615"/>
      <c r="E68" s="615"/>
      <c r="F68" s="755" t="str">
        <f>IF(F67="Yes","No","Yes")</f>
        <v>Yes</v>
      </c>
      <c r="G68" s="755"/>
      <c r="H68" s="755"/>
      <c r="I68" s="755"/>
    </row>
    <row r="69" spans="1:14" ht="34.5" customHeight="1">
      <c r="A69" s="140">
        <v>48</v>
      </c>
      <c r="B69" s="506" t="s">
        <v>176</v>
      </c>
      <c r="C69" s="506"/>
      <c r="D69" s="506"/>
      <c r="E69" s="506"/>
      <c r="F69" s="556" t="s">
        <v>123</v>
      </c>
      <c r="G69" s="556"/>
      <c r="H69" s="556"/>
      <c r="I69" s="556"/>
    </row>
    <row r="70" spans="1:14" ht="32.25" customHeight="1">
      <c r="A70" s="140">
        <v>49</v>
      </c>
      <c r="B70" s="506" t="s">
        <v>177</v>
      </c>
      <c r="C70" s="506"/>
      <c r="D70" s="506"/>
      <c r="E70" s="506"/>
      <c r="F70" s="556" t="s">
        <v>123</v>
      </c>
      <c r="G70" s="556"/>
      <c r="H70" s="556"/>
      <c r="I70" s="556"/>
    </row>
    <row r="71" spans="1:14" ht="32.25" customHeight="1">
      <c r="A71" s="140">
        <v>50</v>
      </c>
      <c r="B71" s="503" t="s">
        <v>215</v>
      </c>
      <c r="C71" s="504"/>
      <c r="D71" s="504"/>
      <c r="E71" s="505"/>
      <c r="F71" s="541" t="s">
        <v>189</v>
      </c>
      <c r="G71" s="542"/>
      <c r="H71" s="542"/>
      <c r="I71" s="543"/>
    </row>
    <row r="72" spans="1:14" ht="51" customHeight="1">
      <c r="A72" s="140">
        <v>51</v>
      </c>
      <c r="B72" s="503" t="s">
        <v>855</v>
      </c>
      <c r="C72" s="504"/>
      <c r="D72" s="504"/>
      <c r="E72" s="505"/>
      <c r="F72" s="617">
        <v>0</v>
      </c>
      <c r="G72" s="618"/>
      <c r="H72" s="618"/>
      <c r="I72" s="619"/>
    </row>
    <row r="73" spans="1:14" ht="32.25" customHeight="1">
      <c r="A73" s="140">
        <v>52</v>
      </c>
      <c r="B73" s="503" t="s">
        <v>917</v>
      </c>
      <c r="C73" s="504"/>
      <c r="D73" s="504"/>
      <c r="E73" s="505"/>
      <c r="F73" s="617">
        <v>0</v>
      </c>
      <c r="G73" s="618"/>
      <c r="H73" s="618"/>
      <c r="I73" s="619"/>
    </row>
    <row r="74" spans="1:14" ht="32.25" customHeight="1">
      <c r="A74" s="140">
        <v>53</v>
      </c>
      <c r="B74" s="503" t="s">
        <v>216</v>
      </c>
      <c r="C74" s="504"/>
      <c r="D74" s="504"/>
      <c r="E74" s="505"/>
      <c r="F74" s="518">
        <v>0</v>
      </c>
      <c r="G74" s="550"/>
      <c r="H74" s="550"/>
      <c r="I74" s="519"/>
    </row>
    <row r="75" spans="1:14" ht="36" customHeight="1">
      <c r="A75" s="140">
        <v>54</v>
      </c>
      <c r="B75" s="506" t="s">
        <v>178</v>
      </c>
      <c r="C75" s="506"/>
      <c r="D75" s="506"/>
      <c r="E75" s="506"/>
      <c r="F75" s="616" t="s">
        <v>179</v>
      </c>
      <c r="G75" s="616"/>
      <c r="H75" s="616"/>
      <c r="I75" s="616"/>
      <c r="J75" s="613"/>
      <c r="K75" s="613"/>
      <c r="L75" s="613"/>
      <c r="M75" s="613"/>
      <c r="N75" s="613"/>
    </row>
    <row r="76" spans="1:14" ht="33.75" customHeight="1">
      <c r="A76" s="140">
        <v>55</v>
      </c>
      <c r="B76" s="506" t="str">
        <f>"Amount of medical expenses reimbursed during the year " &amp; F24</f>
        <v>Amount of medical expenses reimbursed during the year 2020-2021</v>
      </c>
      <c r="C76" s="506"/>
      <c r="D76" s="506"/>
      <c r="E76" s="506"/>
      <c r="F76" s="749"/>
      <c r="G76" s="749"/>
      <c r="H76" s="749"/>
      <c r="I76" s="749"/>
      <c r="J76" s="181"/>
    </row>
    <row r="77" spans="1:14">
      <c r="A77" s="140">
        <v>56</v>
      </c>
      <c r="B77" s="752" t="s">
        <v>837</v>
      </c>
      <c r="C77" s="753"/>
      <c r="D77" s="753"/>
      <c r="E77" s="754"/>
      <c r="F77" s="750">
        <f>'NSC VIII Issue'!G22</f>
        <v>0</v>
      </c>
      <c r="G77" s="750"/>
      <c r="H77" s="750"/>
      <c r="I77" s="750"/>
    </row>
    <row r="78" spans="1:14">
      <c r="A78" s="140">
        <v>57</v>
      </c>
      <c r="B78" s="752" t="s">
        <v>838</v>
      </c>
      <c r="C78" s="753"/>
      <c r="D78" s="753"/>
      <c r="E78" s="754"/>
      <c r="F78" s="756">
        <f>'NSC IX Issue'!G22</f>
        <v>0</v>
      </c>
      <c r="G78" s="756"/>
      <c r="H78" s="756"/>
      <c r="I78" s="756"/>
    </row>
    <row r="79" spans="1:14" ht="32.25" customHeight="1">
      <c r="A79" s="140">
        <v>57</v>
      </c>
      <c r="B79" s="506" t="s">
        <v>186</v>
      </c>
      <c r="C79" s="506"/>
      <c r="D79" s="506"/>
      <c r="E79" s="506"/>
      <c r="F79" s="556" t="s">
        <v>189</v>
      </c>
      <c r="G79" s="556"/>
      <c r="H79" s="556"/>
      <c r="I79" s="556"/>
    </row>
    <row r="80" spans="1:14">
      <c r="A80" s="140">
        <v>58</v>
      </c>
      <c r="B80" s="506" t="s">
        <v>187</v>
      </c>
      <c r="C80" s="506"/>
      <c r="D80" s="506"/>
      <c r="E80" s="506"/>
      <c r="F80" s="556" t="s">
        <v>189</v>
      </c>
      <c r="G80" s="556"/>
      <c r="H80" s="556"/>
      <c r="I80" s="556"/>
    </row>
    <row r="81" spans="1:11">
      <c r="A81" s="140">
        <v>59</v>
      </c>
      <c r="B81" s="503" t="s">
        <v>406</v>
      </c>
      <c r="C81" s="504"/>
      <c r="D81" s="504"/>
      <c r="E81" s="505"/>
      <c r="F81" s="645" t="s">
        <v>123</v>
      </c>
      <c r="G81" s="645"/>
      <c r="H81" s="645"/>
      <c r="I81" s="645"/>
    </row>
    <row r="82" spans="1:11">
      <c r="A82" s="140">
        <v>60</v>
      </c>
      <c r="B82" s="506" t="s">
        <v>188</v>
      </c>
      <c r="C82" s="506"/>
      <c r="D82" s="506"/>
      <c r="E82" s="506"/>
      <c r="F82" s="600"/>
      <c r="G82" s="600"/>
      <c r="H82" s="600"/>
      <c r="I82" s="600"/>
    </row>
    <row r="83" spans="1:11">
      <c r="A83" s="140">
        <v>61</v>
      </c>
      <c r="B83" s="757" t="s">
        <v>230</v>
      </c>
      <c r="C83" s="757"/>
      <c r="D83" s="757"/>
      <c r="E83" s="757"/>
      <c r="F83" s="645" t="s">
        <v>123</v>
      </c>
      <c r="G83" s="645"/>
      <c r="H83" s="645"/>
      <c r="I83" s="645"/>
      <c r="K83" s="168"/>
    </row>
    <row r="84" spans="1:11">
      <c r="A84" s="140">
        <v>62</v>
      </c>
      <c r="B84" s="751" t="s">
        <v>1054</v>
      </c>
      <c r="C84" s="751"/>
      <c r="D84" s="751"/>
      <c r="E84" s="751"/>
      <c r="F84" s="629" t="s">
        <v>189</v>
      </c>
      <c r="G84" s="629"/>
      <c r="H84" s="629"/>
      <c r="I84" s="629"/>
    </row>
    <row r="85" spans="1:11">
      <c r="A85" s="140">
        <v>63</v>
      </c>
      <c r="B85" s="506" t="s">
        <v>1105</v>
      </c>
      <c r="C85" s="506"/>
      <c r="D85" s="506"/>
      <c r="E85" s="506"/>
      <c r="F85" s="625" t="str">
        <f>IF(AND(F80="Yes",F83="Yes",F84="No"),"No",IF(AND(F80="Yes",F83="No",F84="Yes"),"No",IF(AND(F80="Yes",F83="No",F84="No"),"Yes",IF(AND(F80="No",F83="Yes",F84="No"),"No",IF(AND(F80="No",F83="No",OR(F84="Yes",F84="No")),"No",IF(AND(F80="Yes",F83="Yes",F84="Yes"),"No",IF(AND(F80="No",F83="Yes",F84="Yes"),"No")))))))</f>
        <v>No</v>
      </c>
      <c r="G85" s="625"/>
      <c r="H85" s="625"/>
      <c r="I85" s="625"/>
    </row>
    <row r="86" spans="1:11" ht="33" customHeight="1">
      <c r="A86" s="140"/>
      <c r="B86" s="260" t="s">
        <v>925</v>
      </c>
      <c r="C86" s="626" t="s">
        <v>1053</v>
      </c>
      <c r="D86" s="627"/>
      <c r="E86" s="627"/>
      <c r="F86" s="627"/>
      <c r="G86" s="627"/>
      <c r="H86" s="627"/>
      <c r="I86" s="628"/>
    </row>
    <row r="87" spans="1:11">
      <c r="A87" s="140"/>
      <c r="B87" s="503" t="s">
        <v>926</v>
      </c>
      <c r="C87" s="504"/>
      <c r="D87" s="504"/>
      <c r="E87" s="505"/>
      <c r="F87" s="763"/>
      <c r="G87" s="764"/>
      <c r="H87" s="764"/>
      <c r="I87" s="765"/>
    </row>
    <row r="88" spans="1:11">
      <c r="A88" s="140"/>
      <c r="B88" s="503" t="s">
        <v>927</v>
      </c>
      <c r="C88" s="504"/>
      <c r="D88" s="504"/>
      <c r="E88" s="505"/>
      <c r="F88" s="766"/>
      <c r="G88" s="767"/>
      <c r="H88" s="767"/>
      <c r="I88" s="768"/>
    </row>
    <row r="89" spans="1:11">
      <c r="A89" s="140"/>
      <c r="B89" s="503" t="s">
        <v>928</v>
      </c>
      <c r="C89" s="504"/>
      <c r="D89" s="504"/>
      <c r="E89" s="505"/>
      <c r="F89" s="769"/>
      <c r="G89" s="770"/>
      <c r="H89" s="770"/>
      <c r="I89" s="771"/>
    </row>
    <row r="90" spans="1:11" ht="28.5" customHeight="1">
      <c r="A90" s="140"/>
      <c r="B90" s="573" t="s">
        <v>929</v>
      </c>
      <c r="C90" s="574"/>
      <c r="D90" s="574"/>
      <c r="E90" s="575"/>
      <c r="F90" s="630" t="s">
        <v>123</v>
      </c>
      <c r="G90" s="631"/>
      <c r="H90" s="631"/>
      <c r="I90" s="632"/>
    </row>
    <row r="91" spans="1:11">
      <c r="A91" s="140">
        <v>64</v>
      </c>
      <c r="B91" s="535" t="s">
        <v>1136</v>
      </c>
      <c r="C91" s="536"/>
      <c r="D91" s="536"/>
      <c r="E91" s="537"/>
      <c r="F91" s="518"/>
      <c r="G91" s="550"/>
      <c r="H91" s="550"/>
      <c r="I91" s="519"/>
    </row>
    <row r="92" spans="1:11">
      <c r="A92" s="140">
        <v>65</v>
      </c>
      <c r="B92" s="535" t="s">
        <v>1137</v>
      </c>
      <c r="C92" s="536"/>
      <c r="D92" s="536"/>
      <c r="E92" s="537"/>
      <c r="F92" s="518"/>
      <c r="G92" s="550"/>
      <c r="H92" s="550"/>
      <c r="I92" s="519"/>
    </row>
    <row r="93" spans="1:11" ht="18" customHeight="1">
      <c r="A93" s="140">
        <v>66</v>
      </c>
      <c r="B93" s="506" t="s">
        <v>243</v>
      </c>
      <c r="C93" s="506"/>
      <c r="D93" s="506"/>
      <c r="E93" s="506"/>
      <c r="F93" s="518"/>
      <c r="G93" s="550"/>
      <c r="H93" s="550"/>
      <c r="I93" s="519"/>
    </row>
    <row r="94" spans="1:11" ht="33.75" customHeight="1">
      <c r="A94" s="140">
        <v>67</v>
      </c>
      <c r="B94" s="506" t="s">
        <v>509</v>
      </c>
      <c r="C94" s="506"/>
      <c r="D94" s="506"/>
      <c r="E94" s="506"/>
      <c r="F94" s="515">
        <f>IF(F80="Yes",F95,0)</f>
        <v>0</v>
      </c>
      <c r="G94" s="515"/>
      <c r="H94" s="515"/>
      <c r="I94" s="515"/>
    </row>
    <row r="95" spans="1:11" ht="31.5" customHeight="1">
      <c r="A95" s="140">
        <v>67</v>
      </c>
      <c r="B95" s="506" t="s">
        <v>509</v>
      </c>
      <c r="C95" s="506"/>
      <c r="D95" s="506"/>
      <c r="E95" s="506"/>
      <c r="F95" s="515">
        <f>IF(AND(F81="Yes",F83="Yes",F84="No"),MIN((F91+F92+F93),30000),IF(AND(F81="Yes",F83="No",OR(F84="Yes",F84="No")),MIN((F91+F92+F93),30000),IF(AND(F81="No",F83="No",F84="Yes",(F91+F92+F93)&gt;=200000),200000,IF(AND(F81="No",F83="No",F84="Yes",(F91+F92+F93)&lt;200000),(F91+F92+F93),IF(AND(F81="No",F83="Yes",F84="No",(F91+F92+F93)&gt;=30000),30000,IF(AND(F81="No",F83="Yes",F84="No",(F91+F92+F93)&lt;30000),(F91+F92+F93),IF(AND(F81="No",F83="No",F84="No"),MIN((F91+F92+F93),200000))))))))</f>
        <v>0</v>
      </c>
      <c r="G95" s="515"/>
      <c r="H95" s="515"/>
      <c r="I95" s="515"/>
    </row>
    <row r="96" spans="1:11">
      <c r="A96" s="145">
        <v>67</v>
      </c>
      <c r="B96" s="646" t="s">
        <v>190</v>
      </c>
      <c r="C96" s="646"/>
      <c r="D96" s="646"/>
      <c r="E96" s="646"/>
      <c r="F96" s="646"/>
      <c r="G96" s="646"/>
      <c r="H96" s="646"/>
      <c r="I96" s="646"/>
    </row>
    <row r="97" spans="1:9" ht="16.5" customHeight="1">
      <c r="A97" s="636" t="s">
        <v>354</v>
      </c>
      <c r="B97" s="637"/>
      <c r="C97" s="637"/>
      <c r="D97" s="637"/>
      <c r="E97" s="637"/>
      <c r="F97" s="637"/>
      <c r="G97" s="637"/>
      <c r="H97" s="637"/>
      <c r="I97" s="638"/>
    </row>
    <row r="98" spans="1:9" ht="24.75" customHeight="1">
      <c r="A98" s="516" t="s">
        <v>191</v>
      </c>
      <c r="B98" s="678"/>
      <c r="C98" s="678"/>
      <c r="D98" s="517"/>
      <c r="E98" s="146" t="s">
        <v>192</v>
      </c>
      <c r="F98" s="516" t="s">
        <v>202</v>
      </c>
      <c r="G98" s="517"/>
      <c r="H98" s="516" t="s">
        <v>134</v>
      </c>
      <c r="I98" s="517"/>
    </row>
    <row r="99" spans="1:9">
      <c r="A99" s="610" t="s">
        <v>193</v>
      </c>
      <c r="B99" s="611"/>
      <c r="C99" s="611"/>
      <c r="D99" s="612"/>
      <c r="E99" s="150" t="s">
        <v>194</v>
      </c>
      <c r="F99" s="518"/>
      <c r="G99" s="519"/>
      <c r="H99" s="513">
        <f>IF(F99&gt;=150000,150000, IF(F99&lt;150000, F99))</f>
        <v>0</v>
      </c>
      <c r="I99" s="514"/>
    </row>
    <row r="100" spans="1:9" ht="30.75" customHeight="1">
      <c r="A100" s="633" t="s">
        <v>497</v>
      </c>
      <c r="B100" s="634"/>
      <c r="C100" s="634"/>
      <c r="D100" s="635"/>
      <c r="E100" s="276" t="s">
        <v>969</v>
      </c>
      <c r="F100" s="513">
        <f>IF('Earnings Sheet'!R4="NPF contribution",'Earnings Sheet'!R18,IF('Earnings Sheet'!R4="C.P.F",0))</f>
        <v>0</v>
      </c>
      <c r="G100" s="514"/>
      <c r="H100" s="513">
        <f>IF(OR(F100=0,F100=""),0,MIN(F100,'Computation Sheet'!H38*10%))</f>
        <v>0</v>
      </c>
      <c r="I100" s="514"/>
    </row>
    <row r="101" spans="1:9" ht="30.75" customHeight="1">
      <c r="A101" s="642" t="s">
        <v>968</v>
      </c>
      <c r="B101" s="643"/>
      <c r="C101" s="643"/>
      <c r="D101" s="644"/>
      <c r="E101" s="276" t="s">
        <v>967</v>
      </c>
      <c r="F101" s="518"/>
      <c r="G101" s="519"/>
      <c r="H101" s="513">
        <f>IF(OR(F101=0,F101=""),0,MIN(F101,50000))</f>
        <v>0</v>
      </c>
      <c r="I101" s="514"/>
    </row>
    <row r="102" spans="1:9" ht="30.75" customHeight="1">
      <c r="A102" s="639" t="s">
        <v>856</v>
      </c>
      <c r="B102" s="640"/>
      <c r="C102" s="640"/>
      <c r="D102" s="641"/>
      <c r="E102" s="148" t="s">
        <v>498</v>
      </c>
      <c r="F102" s="518"/>
      <c r="G102" s="519"/>
      <c r="H102" s="513">
        <f>IF(OR(F102=0,F102=""),0,MIN(F102,20000))</f>
        <v>0</v>
      </c>
      <c r="I102" s="514"/>
    </row>
    <row r="103" spans="1:9" ht="30.75" customHeight="1">
      <c r="A103" s="639" t="s">
        <v>910</v>
      </c>
      <c r="B103" s="640"/>
      <c r="C103" s="640"/>
      <c r="D103" s="641"/>
      <c r="E103" s="256" t="s">
        <v>911</v>
      </c>
      <c r="F103" s="518"/>
      <c r="G103" s="519"/>
      <c r="H103" s="513">
        <f>IF(OR(F103=0,F103=""),0,IF('Computation Sheet'!H60&gt;1200000,0,MIN(F103/2,25000)))</f>
        <v>0</v>
      </c>
      <c r="I103" s="514"/>
    </row>
    <row r="104" spans="1:9">
      <c r="A104" s="610" t="s">
        <v>478</v>
      </c>
      <c r="B104" s="611"/>
      <c r="C104" s="611"/>
      <c r="D104" s="612"/>
      <c r="E104" s="498" t="s">
        <v>195</v>
      </c>
      <c r="F104" s="518"/>
      <c r="G104" s="519"/>
      <c r="H104" s="513">
        <f>IF(AND(I11&lt;60,F104&lt;=25000),F104,IF(AND(I11&lt;60,F104&gt;25000),25000,IF(AND(I11&gt;=60,F104&lt;=50000),F104,IF(AND(I11&gt;=60,F104&gt;50000),50000))))</f>
        <v>0</v>
      </c>
      <c r="I104" s="514"/>
    </row>
    <row r="105" spans="1:9" ht="22.5" customHeight="1">
      <c r="A105" s="774" t="s">
        <v>479</v>
      </c>
      <c r="B105" s="775"/>
      <c r="C105" s="147" t="s">
        <v>480</v>
      </c>
      <c r="D105" s="176">
        <v>59</v>
      </c>
      <c r="E105" s="689"/>
      <c r="F105" s="518"/>
      <c r="G105" s="519"/>
      <c r="H105" s="513">
        <f>IF(AND(D105&lt;60,F105&lt;=25000),F105,IF(AND(D105&lt;60,F105&gt;25000),25000,IF(AND(D105&gt;=60,F105&lt;=50000),F105,IF(AND(D105&gt;=60,F105&gt;50000),50000))))</f>
        <v>0</v>
      </c>
      <c r="I105" s="514"/>
    </row>
    <row r="106" spans="1:9" ht="91.5" customHeight="1">
      <c r="A106" s="702" t="s">
        <v>499</v>
      </c>
      <c r="B106" s="703"/>
      <c r="C106" s="703"/>
      <c r="D106" s="704"/>
      <c r="E106" s="699" t="s">
        <v>198</v>
      </c>
      <c r="F106" s="776"/>
      <c r="G106" s="777"/>
      <c r="H106" s="780">
        <f>IF(OR(D107=0,D107="",F106=0,F106=""),0,IF(AND(D107&gt;=40%,D107&lt;80%),MIN(F106,75000),IF(AND(D107&gt;=80%),MIN(F106,125000),IF(D107&lt;40%,""))))</f>
        <v>0</v>
      </c>
      <c r="I106" s="781"/>
    </row>
    <row r="107" spans="1:9">
      <c r="A107" s="784" t="s">
        <v>495</v>
      </c>
      <c r="B107" s="785"/>
      <c r="C107" s="785"/>
      <c r="D107" s="175">
        <v>0.4</v>
      </c>
      <c r="E107" s="700"/>
      <c r="F107" s="778"/>
      <c r="G107" s="779"/>
      <c r="H107" s="782"/>
      <c r="I107" s="783"/>
    </row>
    <row r="108" spans="1:9" ht="41.25" customHeight="1">
      <c r="A108" s="610" t="s">
        <v>196</v>
      </c>
      <c r="B108" s="611"/>
      <c r="C108" s="611"/>
      <c r="D108" s="612"/>
      <c r="E108" s="150" t="s">
        <v>197</v>
      </c>
      <c r="F108" s="617"/>
      <c r="G108" s="619"/>
      <c r="H108" s="518"/>
      <c r="I108" s="519"/>
    </row>
    <row r="109" spans="1:9" ht="40.5" customHeight="1">
      <c r="A109" s="735" t="s">
        <v>496</v>
      </c>
      <c r="B109" s="736"/>
      <c r="C109" s="736"/>
      <c r="D109" s="737"/>
      <c r="E109" s="149" t="s">
        <v>439</v>
      </c>
      <c r="F109" s="617"/>
      <c r="G109" s="619"/>
      <c r="H109" s="741">
        <f>IF(F109=0,0,IF(I11&lt;60,MIN(F109,40000),IF(AND(I11&gt;60,I11&lt;80),MIN(F109,60000),IF(I11&gt;80,MIN(F109,80000),IF(F109=0,0)))))</f>
        <v>0</v>
      </c>
      <c r="I109" s="742"/>
    </row>
    <row r="110" spans="1:9" ht="44.25" customHeight="1">
      <c r="A110" s="773" t="s">
        <v>507</v>
      </c>
      <c r="B110" s="761"/>
      <c r="C110" s="761"/>
      <c r="D110" s="762"/>
      <c r="E110" s="150" t="s">
        <v>199</v>
      </c>
      <c r="F110" s="739"/>
      <c r="G110" s="740"/>
      <c r="H110" s="513">
        <f>F110</f>
        <v>0</v>
      </c>
      <c r="I110" s="514"/>
    </row>
    <row r="111" spans="1:9" ht="44.25" customHeight="1">
      <c r="A111" s="760" t="s">
        <v>930</v>
      </c>
      <c r="B111" s="761"/>
      <c r="C111" s="761"/>
      <c r="D111" s="762"/>
      <c r="E111" s="258" t="s">
        <v>931</v>
      </c>
      <c r="F111" s="513">
        <f>IF(F85="Yes",MIN(((F91+F92+F93)-F95),100000),0)</f>
        <v>0</v>
      </c>
      <c r="G111" s="514"/>
      <c r="H111" s="513">
        <f>IF(F85="No",0,IF(OR(F87="",F88="",F89=""),"Fill in Loan sanction date, amount and property values in F87,F88 and F89",F111))</f>
        <v>0</v>
      </c>
      <c r="I111" s="514"/>
    </row>
    <row r="112" spans="1:9" ht="44.25" customHeight="1">
      <c r="A112" s="787" t="s">
        <v>1110</v>
      </c>
      <c r="B112" s="788"/>
      <c r="C112" s="788"/>
      <c r="D112" s="789"/>
      <c r="E112" s="337" t="s">
        <v>1100</v>
      </c>
      <c r="F112" s="758"/>
      <c r="G112" s="759"/>
      <c r="H112" s="513">
        <f>IF(OR(F112="",F112=0),0,IF(OR(F95=0,F95=""),MIN(F112,150000),0))</f>
        <v>0</v>
      </c>
      <c r="I112" s="514"/>
    </row>
    <row r="113" spans="1:9" ht="44.25" customHeight="1">
      <c r="A113" s="787" t="s">
        <v>1111</v>
      </c>
      <c r="B113" s="788"/>
      <c r="C113" s="788"/>
      <c r="D113" s="789"/>
      <c r="E113" s="337" t="s">
        <v>1101</v>
      </c>
      <c r="F113" s="758"/>
      <c r="G113" s="759"/>
      <c r="H113" s="513">
        <f>IF(OR(F113="",F113=0),0,MIN(F113,150000))</f>
        <v>0</v>
      </c>
      <c r="I113" s="514"/>
    </row>
    <row r="114" spans="1:9" ht="33.75" customHeight="1">
      <c r="A114" s="662" t="s">
        <v>353</v>
      </c>
      <c r="B114" s="663"/>
      <c r="C114" s="663"/>
      <c r="D114" s="664"/>
      <c r="E114" s="150" t="s">
        <v>290</v>
      </c>
      <c r="F114" s="518"/>
      <c r="G114" s="519"/>
      <c r="H114" s="513">
        <f>F114</f>
        <v>0</v>
      </c>
      <c r="I114" s="514"/>
    </row>
    <row r="115" spans="1:9" ht="57.75" customHeight="1">
      <c r="A115" s="610" t="s">
        <v>1084</v>
      </c>
      <c r="B115" s="611"/>
      <c r="C115" s="611"/>
      <c r="D115" s="612"/>
      <c r="E115" s="277" t="s">
        <v>972</v>
      </c>
      <c r="F115" s="518"/>
      <c r="G115" s="519"/>
      <c r="H115" s="513">
        <f>IF(I11&gt;60,0,IF(OR(F115=0,F115=""),0,MIN(F115,10000)))</f>
        <v>0</v>
      </c>
      <c r="I115" s="514"/>
    </row>
    <row r="116" spans="1:9" ht="67.5" customHeight="1">
      <c r="A116" s="743" t="s">
        <v>1085</v>
      </c>
      <c r="B116" s="744"/>
      <c r="C116" s="744"/>
      <c r="D116" s="745"/>
      <c r="E116" s="327" t="s">
        <v>1083</v>
      </c>
      <c r="F116" s="518">
        <f>IF(AND(I11&lt;60,OR(F149="",F149=0)),0,IF(AND(I11&lt;60,F149&gt;0),0,IF(AND(I11&gt;=60,OR(F149="",F149=0)),0,IF(AND(I11&gt;=60,F149&gt;0),MIN(F149,50000)))))</f>
        <v>0</v>
      </c>
      <c r="G116" s="519"/>
      <c r="H116" s="513">
        <f>IF(I11&lt;60,0,IF(OR(F116=0,F116=""),0,MIN(F116,50000)))</f>
        <v>0</v>
      </c>
      <c r="I116" s="514"/>
    </row>
    <row r="117" spans="1:9" ht="33.75" customHeight="1">
      <c r="A117" s="662" t="s">
        <v>966</v>
      </c>
      <c r="B117" s="663"/>
      <c r="C117" s="663"/>
      <c r="D117" s="663"/>
      <c r="E117" s="664"/>
      <c r="F117" s="518" t="s">
        <v>123</v>
      </c>
      <c r="G117" s="519"/>
      <c r="H117" s="793">
        <f>F118</f>
        <v>0</v>
      </c>
      <c r="I117" s="794"/>
    </row>
    <row r="118" spans="1:9" ht="64.5" customHeight="1">
      <c r="A118" s="702" t="s">
        <v>500</v>
      </c>
      <c r="B118" s="703"/>
      <c r="C118" s="703"/>
      <c r="D118" s="704"/>
      <c r="E118" s="699" t="s">
        <v>201</v>
      </c>
      <c r="F118" s="716">
        <f>IF(F117="Yes",IF(OR(D119=0,D119=""),0,IF(D119&lt;40%,0,IF(AND(D119&gt;=40%,D119&lt;80%),75000,IF(D119&gt;=80%,125000)))),0)</f>
        <v>0</v>
      </c>
      <c r="G118" s="717"/>
      <c r="H118" s="795"/>
      <c r="I118" s="796"/>
    </row>
    <row r="119" spans="1:9">
      <c r="A119" s="697" t="s">
        <v>495</v>
      </c>
      <c r="B119" s="698"/>
      <c r="C119" s="698"/>
      <c r="D119" s="174">
        <v>1</v>
      </c>
      <c r="E119" s="700"/>
      <c r="F119" s="718"/>
      <c r="G119" s="719"/>
      <c r="H119" s="797"/>
      <c r="I119" s="798"/>
    </row>
    <row r="120" spans="1:9">
      <c r="A120" s="693" t="s">
        <v>858</v>
      </c>
      <c r="B120" s="694"/>
      <c r="C120" s="694"/>
      <c r="D120" s="694"/>
      <c r="E120" s="694"/>
      <c r="F120" s="694"/>
      <c r="G120" s="694"/>
      <c r="H120" s="694"/>
      <c r="I120" s="695"/>
    </row>
    <row r="121" spans="1:9">
      <c r="A121" s="701" t="s">
        <v>292</v>
      </c>
      <c r="B121" s="701"/>
      <c r="C121" s="701"/>
      <c r="D121" s="701"/>
      <c r="E121" s="701"/>
      <c r="F121" s="701"/>
      <c r="G121" s="701"/>
      <c r="H121" s="738" t="s">
        <v>202</v>
      </c>
      <c r="I121" s="738"/>
    </row>
    <row r="122" spans="1:9">
      <c r="A122" s="655" t="s">
        <v>350</v>
      </c>
      <c r="B122" s="696"/>
      <c r="C122" s="696"/>
      <c r="D122" s="696"/>
      <c r="E122" s="696"/>
      <c r="F122" s="696"/>
      <c r="G122" s="696"/>
      <c r="H122" s="557"/>
      <c r="I122" s="557"/>
    </row>
    <row r="123" spans="1:9" ht="30" customHeight="1">
      <c r="A123" s="662" t="s">
        <v>203</v>
      </c>
      <c r="B123" s="663"/>
      <c r="C123" s="663"/>
      <c r="D123" s="663"/>
      <c r="E123" s="664"/>
      <c r="F123" s="151" t="s">
        <v>407</v>
      </c>
      <c r="G123" s="173"/>
      <c r="H123" s="557"/>
      <c r="I123" s="557"/>
    </row>
    <row r="124" spans="1:9" ht="30" customHeight="1">
      <c r="A124" s="662" t="s">
        <v>797</v>
      </c>
      <c r="B124" s="663"/>
      <c r="C124" s="663"/>
      <c r="D124" s="663"/>
      <c r="E124" s="664"/>
      <c r="F124" s="151" t="s">
        <v>407</v>
      </c>
      <c r="G124" s="173"/>
      <c r="H124" s="772">
        <f>IF('Earnings Sheet'!Z18&gt;G124*20%,G124*20%,IF('Earnings Sheet'!Z18&lt;G124*20%,'Earnings Sheet'!Z18,IF(G124="",0)))</f>
        <v>0</v>
      </c>
      <c r="I124" s="772"/>
    </row>
    <row r="125" spans="1:9">
      <c r="A125" s="799" t="s">
        <v>204</v>
      </c>
      <c r="B125" s="799"/>
      <c r="C125" s="799"/>
      <c r="D125" s="799"/>
      <c r="E125" s="799"/>
      <c r="F125" s="799"/>
      <c r="G125" s="799"/>
      <c r="H125" s="557"/>
      <c r="I125" s="557"/>
    </row>
    <row r="126" spans="1:9">
      <c r="A126" s="799" t="s">
        <v>1050</v>
      </c>
      <c r="B126" s="799"/>
      <c r="C126" s="799"/>
      <c r="D126" s="799"/>
      <c r="E126" s="799"/>
      <c r="F126" s="799"/>
      <c r="G126" s="799"/>
      <c r="H126" s="557"/>
      <c r="I126" s="557"/>
    </row>
    <row r="127" spans="1:9" ht="20.25" customHeight="1">
      <c r="A127" s="696" t="s">
        <v>205</v>
      </c>
      <c r="B127" s="696"/>
      <c r="C127" s="696"/>
      <c r="D127" s="696"/>
      <c r="E127" s="696"/>
      <c r="F127" s="696"/>
      <c r="G127" s="696"/>
      <c r="H127" s="557"/>
      <c r="I127" s="557"/>
    </row>
    <row r="128" spans="1:9">
      <c r="A128" s="696" t="s">
        <v>206</v>
      </c>
      <c r="B128" s="696"/>
      <c r="C128" s="696"/>
      <c r="D128" s="696"/>
      <c r="E128" s="696"/>
      <c r="F128" s="696"/>
      <c r="G128" s="696"/>
      <c r="H128" s="557"/>
      <c r="I128" s="557"/>
    </row>
    <row r="129" spans="1:9">
      <c r="A129" s="696" t="s">
        <v>800</v>
      </c>
      <c r="B129" s="696"/>
      <c r="C129" s="696"/>
      <c r="D129" s="696"/>
      <c r="E129" s="696"/>
      <c r="F129" s="696"/>
      <c r="G129" s="696"/>
      <c r="H129" s="557"/>
      <c r="I129" s="557"/>
    </row>
    <row r="130" spans="1:9">
      <c r="A130" s="696" t="s">
        <v>207</v>
      </c>
      <c r="B130" s="696"/>
      <c r="C130" s="696"/>
      <c r="D130" s="696"/>
      <c r="E130" s="696"/>
      <c r="F130" s="696"/>
      <c r="G130" s="696"/>
      <c r="H130" s="557"/>
      <c r="I130" s="557"/>
    </row>
    <row r="131" spans="1:9">
      <c r="A131" s="696" t="s">
        <v>857</v>
      </c>
      <c r="B131" s="696"/>
      <c r="C131" s="696"/>
      <c r="D131" s="696"/>
      <c r="E131" s="696"/>
      <c r="F131" s="696"/>
      <c r="G131" s="696"/>
      <c r="H131" s="557">
        <f>'NSC VIII Issue'!G22</f>
        <v>0</v>
      </c>
      <c r="I131" s="557"/>
    </row>
    <row r="132" spans="1:9">
      <c r="A132" s="696" t="s">
        <v>798</v>
      </c>
      <c r="B132" s="696"/>
      <c r="C132" s="696"/>
      <c r="D132" s="696"/>
      <c r="E132" s="696"/>
      <c r="F132" s="696"/>
      <c r="G132" s="696"/>
      <c r="H132" s="557">
        <f>'NSC IX Issue'!G22</f>
        <v>0</v>
      </c>
      <c r="I132" s="557"/>
    </row>
    <row r="133" spans="1:9">
      <c r="A133" s="696" t="s">
        <v>351</v>
      </c>
      <c r="B133" s="696"/>
      <c r="C133" s="696"/>
      <c r="D133" s="696"/>
      <c r="E133" s="696"/>
      <c r="F133" s="696"/>
      <c r="G133" s="696"/>
      <c r="H133" s="557"/>
      <c r="I133" s="557"/>
    </row>
    <row r="134" spans="1:9">
      <c r="A134" s="696" t="s">
        <v>799</v>
      </c>
      <c r="B134" s="696"/>
      <c r="C134" s="696"/>
      <c r="D134" s="696"/>
      <c r="E134" s="696"/>
      <c r="F134" s="696"/>
      <c r="G134" s="696"/>
      <c r="H134" s="557"/>
      <c r="I134" s="557"/>
    </row>
    <row r="135" spans="1:9">
      <c r="A135" s="696" t="s">
        <v>212</v>
      </c>
      <c r="B135" s="696"/>
      <c r="C135" s="696"/>
      <c r="D135" s="696"/>
      <c r="E135" s="696"/>
      <c r="F135" s="696"/>
      <c r="G135" s="696"/>
      <c r="H135" s="557"/>
      <c r="I135" s="557"/>
    </row>
    <row r="136" spans="1:9" ht="49.5" customHeight="1">
      <c r="A136" s="655" t="s">
        <v>208</v>
      </c>
      <c r="B136" s="655"/>
      <c r="C136" s="655"/>
      <c r="D136" s="655"/>
      <c r="E136" s="655"/>
      <c r="F136" s="655"/>
      <c r="G136" s="655"/>
      <c r="H136" s="651"/>
      <c r="I136" s="651"/>
    </row>
    <row r="137" spans="1:9">
      <c r="A137" s="655" t="s">
        <v>349</v>
      </c>
      <c r="B137" s="655"/>
      <c r="C137" s="655"/>
      <c r="D137" s="655"/>
      <c r="E137" s="655"/>
      <c r="F137" s="655"/>
      <c r="G137" s="655"/>
      <c r="H137" s="651"/>
      <c r="I137" s="651"/>
    </row>
    <row r="138" spans="1:9">
      <c r="A138" s="655" t="s">
        <v>209</v>
      </c>
      <c r="B138" s="655"/>
      <c r="C138" s="655"/>
      <c r="D138" s="655"/>
      <c r="E138" s="655"/>
      <c r="F138" s="655"/>
      <c r="G138" s="655"/>
      <c r="H138" s="786">
        <f>IF(F81="No",'Earnings Sheet'!X18,IF(F81="Yes",0))</f>
        <v>0</v>
      </c>
      <c r="I138" s="786"/>
    </row>
    <row r="139" spans="1:9">
      <c r="A139" s="655" t="s">
        <v>210</v>
      </c>
      <c r="B139" s="655"/>
      <c r="C139" s="655"/>
      <c r="D139" s="655"/>
      <c r="E139" s="655"/>
      <c r="F139" s="655"/>
      <c r="G139" s="655"/>
      <c r="H139" s="651"/>
      <c r="I139" s="651"/>
    </row>
    <row r="140" spans="1:9" ht="33.75" customHeight="1">
      <c r="A140" s="655" t="s">
        <v>211</v>
      </c>
      <c r="B140" s="655"/>
      <c r="C140" s="655"/>
      <c r="D140" s="655"/>
      <c r="E140" s="655"/>
      <c r="F140" s="655"/>
      <c r="G140" s="655"/>
      <c r="H140" s="651"/>
      <c r="I140" s="651"/>
    </row>
    <row r="141" spans="1:9">
      <c r="A141" s="655" t="s">
        <v>352</v>
      </c>
      <c r="B141" s="655"/>
      <c r="C141" s="655"/>
      <c r="D141" s="655"/>
      <c r="E141" s="655"/>
      <c r="F141" s="655"/>
      <c r="G141" s="655"/>
      <c r="H141" s="651"/>
      <c r="I141" s="651"/>
    </row>
    <row r="142" spans="1:9">
      <c r="A142" s="662" t="s">
        <v>483</v>
      </c>
      <c r="B142" s="663"/>
      <c r="C142" s="663"/>
      <c r="D142" s="663"/>
      <c r="E142" s="663"/>
      <c r="F142" s="663"/>
      <c r="G142" s="664"/>
      <c r="H142" s="518"/>
      <c r="I142" s="519"/>
    </row>
    <row r="143" spans="1:9">
      <c r="A143" s="662" t="s">
        <v>803</v>
      </c>
      <c r="B143" s="663"/>
      <c r="C143" s="663"/>
      <c r="D143" s="663"/>
      <c r="E143" s="663"/>
      <c r="F143" s="663"/>
      <c r="G143" s="664"/>
      <c r="H143" s="518"/>
      <c r="I143" s="519"/>
    </row>
    <row r="144" spans="1:9">
      <c r="A144" s="662" t="s">
        <v>804</v>
      </c>
      <c r="B144" s="663"/>
      <c r="C144" s="663"/>
      <c r="D144" s="663"/>
      <c r="E144" s="663"/>
      <c r="F144" s="663"/>
      <c r="G144" s="664"/>
      <c r="H144" s="518"/>
      <c r="I144" s="519"/>
    </row>
    <row r="145" spans="1:9">
      <c r="A145" s="662" t="s">
        <v>973</v>
      </c>
      <c r="B145" s="663"/>
      <c r="C145" s="663"/>
      <c r="D145" s="663"/>
      <c r="E145" s="663"/>
      <c r="F145" s="663"/>
      <c r="G145" s="664"/>
      <c r="H145" s="518"/>
      <c r="I145" s="519"/>
    </row>
    <row r="146" spans="1:9">
      <c r="A146" s="655" t="s">
        <v>213</v>
      </c>
      <c r="B146" s="655"/>
      <c r="C146" s="655"/>
      <c r="D146" s="655"/>
      <c r="E146" s="655"/>
      <c r="F146" s="655"/>
      <c r="G146" s="655"/>
      <c r="H146" s="723" t="s">
        <v>1042</v>
      </c>
      <c r="I146" s="724"/>
    </row>
    <row r="147" spans="1:9" ht="27.75" customHeight="1">
      <c r="A147" s="668" t="s">
        <v>1143</v>
      </c>
      <c r="B147" s="668"/>
      <c r="C147" s="668"/>
      <c r="D147" s="668"/>
      <c r="E147" s="668"/>
      <c r="F147" s="668"/>
      <c r="G147" s="668"/>
      <c r="H147" s="518"/>
      <c r="I147" s="519"/>
    </row>
    <row r="148" spans="1:9">
      <c r="A148" s="143">
        <v>69</v>
      </c>
      <c r="B148" s="655" t="s">
        <v>551</v>
      </c>
      <c r="C148" s="655"/>
      <c r="D148" s="655"/>
      <c r="E148" s="655"/>
      <c r="F148" s="651"/>
      <c r="G148" s="651"/>
      <c r="H148" s="651"/>
      <c r="I148" s="651"/>
    </row>
    <row r="149" spans="1:9" ht="32.25" customHeight="1">
      <c r="A149" s="143">
        <v>70</v>
      </c>
      <c r="B149" s="655" t="s">
        <v>1086</v>
      </c>
      <c r="C149" s="655"/>
      <c r="D149" s="655"/>
      <c r="E149" s="655"/>
      <c r="F149" s="651"/>
      <c r="G149" s="651"/>
      <c r="H149" s="651"/>
      <c r="I149" s="651"/>
    </row>
    <row r="150" spans="1:9">
      <c r="A150" s="143">
        <v>71</v>
      </c>
      <c r="B150" s="655" t="s">
        <v>793</v>
      </c>
      <c r="C150" s="655"/>
      <c r="D150" s="655"/>
      <c r="E150" s="655"/>
      <c r="F150" s="651"/>
      <c r="G150" s="651"/>
      <c r="H150" s="651"/>
      <c r="I150" s="651"/>
    </row>
    <row r="151" spans="1:9" hidden="1">
      <c r="A151" s="329">
        <v>72</v>
      </c>
      <c r="B151" s="527" t="s">
        <v>1090</v>
      </c>
      <c r="C151" s="527"/>
      <c r="D151" s="527"/>
      <c r="E151" s="527"/>
      <c r="F151" s="620"/>
      <c r="G151" s="620"/>
      <c r="H151" s="620"/>
      <c r="I151" s="620"/>
    </row>
    <row r="152" spans="1:9" hidden="1">
      <c r="A152" s="329">
        <v>73</v>
      </c>
      <c r="B152" s="527" t="s">
        <v>1091</v>
      </c>
      <c r="C152" s="527"/>
      <c r="D152" s="527"/>
      <c r="E152" s="527"/>
      <c r="F152" s="620"/>
      <c r="G152" s="620"/>
      <c r="H152" s="620"/>
      <c r="I152" s="620"/>
    </row>
    <row r="153" spans="1:9" hidden="1">
      <c r="A153" s="331">
        <v>74</v>
      </c>
      <c r="B153" s="527" t="s">
        <v>1094</v>
      </c>
      <c r="C153" s="527"/>
      <c r="D153" s="527"/>
      <c r="E153" s="527"/>
      <c r="F153" s="526"/>
      <c r="G153" s="526"/>
      <c r="H153" s="526"/>
      <c r="I153" s="526"/>
    </row>
    <row r="154" spans="1:9" hidden="1">
      <c r="A154" s="330"/>
      <c r="B154" s="527" t="s">
        <v>1095</v>
      </c>
      <c r="C154" s="527"/>
      <c r="D154" s="527"/>
      <c r="E154" s="527"/>
      <c r="F154" s="528"/>
      <c r="G154" s="528"/>
      <c r="H154" s="528"/>
      <c r="I154" s="528"/>
    </row>
    <row r="155" spans="1:9">
      <c r="A155" s="498">
        <v>75</v>
      </c>
      <c r="B155" s="656" t="s">
        <v>237</v>
      </c>
      <c r="C155" s="657"/>
      <c r="D155" s="657"/>
      <c r="E155" s="658"/>
      <c r="F155" s="650" t="s">
        <v>780</v>
      </c>
      <c r="G155" s="650" t="s">
        <v>779</v>
      </c>
      <c r="H155" s="650" t="s">
        <v>776</v>
      </c>
      <c r="I155" s="650" t="s">
        <v>777</v>
      </c>
    </row>
    <row r="156" spans="1:9" ht="27.75" customHeight="1">
      <c r="A156" s="499"/>
      <c r="B156" s="659"/>
      <c r="C156" s="660"/>
      <c r="D156" s="660"/>
      <c r="E156" s="661"/>
      <c r="F156" s="650"/>
      <c r="G156" s="650"/>
      <c r="H156" s="650"/>
      <c r="I156" s="650"/>
    </row>
    <row r="157" spans="1:9">
      <c r="A157" s="143" t="s">
        <v>785</v>
      </c>
      <c r="B157" s="655" t="s">
        <v>238</v>
      </c>
      <c r="C157" s="655"/>
      <c r="D157" s="655"/>
      <c r="E157" s="655"/>
      <c r="F157" s="162"/>
      <c r="G157" s="172"/>
      <c r="H157" s="153">
        <f>200</f>
        <v>200</v>
      </c>
      <c r="I157" s="153">
        <f t="shared" ref="I157:I162" si="1">(F157*G157)-(H157*G157)</f>
        <v>0</v>
      </c>
    </row>
    <row r="158" spans="1:9">
      <c r="A158" s="143" t="s">
        <v>786</v>
      </c>
      <c r="B158" s="655" t="s">
        <v>239</v>
      </c>
      <c r="C158" s="655"/>
      <c r="D158" s="655"/>
      <c r="E158" s="655"/>
      <c r="F158" s="162"/>
      <c r="G158" s="172"/>
      <c r="H158" s="153">
        <v>800</v>
      </c>
      <c r="I158" s="153">
        <f t="shared" si="1"/>
        <v>0</v>
      </c>
    </row>
    <row r="159" spans="1:9">
      <c r="A159" s="143" t="s">
        <v>787</v>
      </c>
      <c r="B159" s="668" t="s">
        <v>240</v>
      </c>
      <c r="C159" s="668"/>
      <c r="D159" s="668"/>
      <c r="E159" s="668"/>
      <c r="F159" s="162"/>
      <c r="G159" s="172"/>
      <c r="H159" s="162"/>
      <c r="I159" s="153">
        <f t="shared" si="1"/>
        <v>0</v>
      </c>
    </row>
    <row r="160" spans="1:9" ht="16.5" customHeight="1">
      <c r="A160" s="498" t="s">
        <v>788</v>
      </c>
      <c r="B160" s="683" t="s">
        <v>778</v>
      </c>
      <c r="C160" s="684"/>
      <c r="D160" s="672" t="s">
        <v>781</v>
      </c>
      <c r="E160" s="673"/>
      <c r="F160" s="162"/>
      <c r="G160" s="172"/>
      <c r="H160" s="162"/>
      <c r="I160" s="153">
        <f t="shared" si="1"/>
        <v>0</v>
      </c>
    </row>
    <row r="161" spans="1:9">
      <c r="A161" s="689"/>
      <c r="B161" s="685"/>
      <c r="C161" s="686"/>
      <c r="D161" s="672" t="s">
        <v>782</v>
      </c>
      <c r="E161" s="673"/>
      <c r="F161" s="162"/>
      <c r="G161" s="172"/>
      <c r="H161" s="162"/>
      <c r="I161" s="153">
        <f t="shared" si="1"/>
        <v>0</v>
      </c>
    </row>
    <row r="162" spans="1:9">
      <c r="A162" s="499"/>
      <c r="B162" s="687"/>
      <c r="C162" s="688"/>
      <c r="D162" s="672" t="s">
        <v>783</v>
      </c>
      <c r="E162" s="673"/>
      <c r="F162" s="169"/>
      <c r="G162" s="170"/>
      <c r="H162" s="124"/>
      <c r="I162" s="153">
        <f t="shared" si="1"/>
        <v>0</v>
      </c>
    </row>
    <row r="163" spans="1:9">
      <c r="A163" s="144"/>
      <c r="B163" s="610" t="s">
        <v>789</v>
      </c>
      <c r="C163" s="611"/>
      <c r="D163" s="611"/>
      <c r="E163" s="612"/>
      <c r="F163" s="669">
        <f>H157*G157+H158*G158+H159*G159+G160*H160+G161*H161+G162*H162</f>
        <v>0</v>
      </c>
      <c r="G163" s="670"/>
      <c r="H163" s="670"/>
      <c r="I163" s="671"/>
    </row>
    <row r="164" spans="1:9">
      <c r="A164" s="143">
        <v>73</v>
      </c>
      <c r="B164" s="655" t="s">
        <v>282</v>
      </c>
      <c r="C164" s="655"/>
      <c r="D164" s="655"/>
      <c r="E164" s="655"/>
      <c r="F164" s="142" t="s">
        <v>818</v>
      </c>
      <c r="G164" s="720"/>
      <c r="H164" s="721"/>
      <c r="I164" s="722"/>
    </row>
    <row r="165" spans="1:9" hidden="1">
      <c r="A165" s="143"/>
      <c r="B165" s="662" t="s">
        <v>817</v>
      </c>
      <c r="C165" s="663"/>
      <c r="D165" s="663"/>
      <c r="E165" s="664"/>
      <c r="F165" s="665" t="str">
        <f>IF(OR(F164="Mr",F164="Shri"),"Son ","daughter")</f>
        <v xml:space="preserve">Son </v>
      </c>
      <c r="G165" s="666"/>
      <c r="H165" s="666"/>
      <c r="I165" s="667"/>
    </row>
    <row r="166" spans="1:9">
      <c r="A166" s="143">
        <v>74</v>
      </c>
      <c r="B166" s="655" t="s">
        <v>816</v>
      </c>
      <c r="C166" s="655"/>
      <c r="D166" s="655"/>
      <c r="E166" s="655"/>
      <c r="F166" s="152" t="s">
        <v>815</v>
      </c>
      <c r="G166" s="652"/>
      <c r="H166" s="653"/>
      <c r="I166" s="654"/>
    </row>
    <row r="167" spans="1:9">
      <c r="A167" s="143">
        <v>75</v>
      </c>
      <c r="B167" s="655" t="s">
        <v>283</v>
      </c>
      <c r="C167" s="655"/>
      <c r="D167" s="655"/>
      <c r="E167" s="655"/>
      <c r="F167" s="645"/>
      <c r="G167" s="645"/>
      <c r="H167" s="645"/>
      <c r="I167" s="645"/>
    </row>
    <row r="168" spans="1:9" ht="34.5" customHeight="1">
      <c r="A168" s="143">
        <v>76</v>
      </c>
      <c r="B168" s="715" t="s">
        <v>589</v>
      </c>
      <c r="C168" s="715"/>
      <c r="D168" s="715"/>
      <c r="E168" s="715"/>
      <c r="F168" s="587"/>
      <c r="G168" s="588"/>
      <c r="H168" s="588"/>
      <c r="I168" s="589"/>
    </row>
    <row r="169" spans="1:9">
      <c r="A169" s="143">
        <v>77</v>
      </c>
      <c r="B169" s="668" t="s">
        <v>465</v>
      </c>
      <c r="C169" s="682"/>
      <c r="D169" s="682"/>
      <c r="E169" s="682"/>
      <c r="F169" s="679"/>
      <c r="G169" s="680"/>
      <c r="H169" s="680"/>
      <c r="I169" s="681"/>
    </row>
    <row r="170" spans="1:9">
      <c r="A170" s="143">
        <v>78</v>
      </c>
      <c r="B170" s="668" t="s">
        <v>504</v>
      </c>
      <c r="C170" s="682"/>
      <c r="D170" s="682"/>
      <c r="E170" s="682"/>
      <c r="F170" s="690"/>
      <c r="G170" s="691"/>
      <c r="H170" s="691"/>
      <c r="I170" s="692"/>
    </row>
    <row r="171" spans="1:9">
      <c r="A171" s="143">
        <v>79</v>
      </c>
      <c r="B171" s="668" t="s">
        <v>859</v>
      </c>
      <c r="C171" s="682"/>
      <c r="D171" s="682"/>
      <c r="E171" s="682"/>
      <c r="F171" s="647"/>
      <c r="G171" s="648"/>
      <c r="H171" s="648"/>
      <c r="I171" s="649"/>
    </row>
    <row r="172" spans="1:9">
      <c r="A172" s="182"/>
      <c r="B172" s="674"/>
      <c r="C172" s="675"/>
      <c r="D172" s="675"/>
      <c r="E172" s="675"/>
    </row>
    <row r="174" spans="1:9" ht="17.25" thickBot="1"/>
    <row r="175" spans="1:9" ht="16.5" customHeight="1">
      <c r="C175" s="593" t="s">
        <v>288</v>
      </c>
      <c r="D175" s="593"/>
      <c r="E175" s="593"/>
      <c r="F175" s="709"/>
      <c r="G175" s="710"/>
      <c r="H175" s="710"/>
      <c r="I175" s="711"/>
    </row>
    <row r="176" spans="1:9" ht="16.5" customHeight="1" thickBot="1">
      <c r="C176" s="593">
        <f>F7</f>
        <v>0</v>
      </c>
      <c r="D176" s="593"/>
      <c r="E176" s="593"/>
      <c r="F176" s="712"/>
      <c r="G176" s="713"/>
      <c r="H176" s="713"/>
      <c r="I176" s="714"/>
    </row>
  </sheetData>
  <sheetProtection password="F2F3" sheet="1" objects="1" scenarios="1"/>
  <customSheetViews>
    <customSheetView guid="{BC7AD179-3218-4244-A3F6-4056F6A573C9}" topLeftCell="A91">
      <selection activeCell="H98" sqref="H98:I98"/>
      <pageMargins left="0.74803149606299213" right="0.74803149606299213" top="0.59055118110236227" bottom="0.59055118110236227" header="0.51181102362204722" footer="0.51181102362204722"/>
      <pageSetup paperSize="5" orientation="portrait" horizontalDpi="360" r:id="rId1"/>
      <headerFooter alignWithMargins="0"/>
    </customSheetView>
  </customSheetViews>
  <mergeCells count="340">
    <mergeCell ref="H126:I126"/>
    <mergeCell ref="A140:G140"/>
    <mergeCell ref="H142:I142"/>
    <mergeCell ref="A141:G141"/>
    <mergeCell ref="A129:G129"/>
    <mergeCell ref="A112:D112"/>
    <mergeCell ref="A113:D113"/>
    <mergeCell ref="F112:G112"/>
    <mergeCell ref="A4:C4"/>
    <mergeCell ref="D4:H4"/>
    <mergeCell ref="F152:I152"/>
    <mergeCell ref="A145:G145"/>
    <mergeCell ref="H145:I145"/>
    <mergeCell ref="F117:G117"/>
    <mergeCell ref="F115:G115"/>
    <mergeCell ref="A117:E117"/>
    <mergeCell ref="H117:I119"/>
    <mergeCell ref="A144:G144"/>
    <mergeCell ref="H144:I144"/>
    <mergeCell ref="H129:I129"/>
    <mergeCell ref="H136:I136"/>
    <mergeCell ref="H133:I133"/>
    <mergeCell ref="A135:G135"/>
    <mergeCell ref="A134:G134"/>
    <mergeCell ref="H134:I134"/>
    <mergeCell ref="A125:G125"/>
    <mergeCell ref="H122:I122"/>
    <mergeCell ref="A126:G126"/>
    <mergeCell ref="A104:D104"/>
    <mergeCell ref="F105:G105"/>
    <mergeCell ref="F104:G104"/>
    <mergeCell ref="A107:C107"/>
    <mergeCell ref="A139:G139"/>
    <mergeCell ref="B152:E152"/>
    <mergeCell ref="H116:I116"/>
    <mergeCell ref="H105:I105"/>
    <mergeCell ref="A128:G128"/>
    <mergeCell ref="A136:G136"/>
    <mergeCell ref="H135:I135"/>
    <mergeCell ref="H138:I138"/>
    <mergeCell ref="A115:D115"/>
    <mergeCell ref="H115:I115"/>
    <mergeCell ref="A131:G131"/>
    <mergeCell ref="A133:G133"/>
    <mergeCell ref="H132:I132"/>
    <mergeCell ref="A137:G137"/>
    <mergeCell ref="H137:I137"/>
    <mergeCell ref="A138:G138"/>
    <mergeCell ref="H127:I127"/>
    <mergeCell ref="E104:E105"/>
    <mergeCell ref="H104:I104"/>
    <mergeCell ref="A123:E123"/>
    <mergeCell ref="F68:I68"/>
    <mergeCell ref="B78:E78"/>
    <mergeCell ref="F78:I78"/>
    <mergeCell ref="B83:E83"/>
    <mergeCell ref="F113:G113"/>
    <mergeCell ref="H112:I112"/>
    <mergeCell ref="H139:I139"/>
    <mergeCell ref="A111:D111"/>
    <mergeCell ref="F111:G111"/>
    <mergeCell ref="H111:I111"/>
    <mergeCell ref="H128:I128"/>
    <mergeCell ref="F87:I87"/>
    <mergeCell ref="F88:I88"/>
    <mergeCell ref="F89:I89"/>
    <mergeCell ref="A102:D102"/>
    <mergeCell ref="H124:I124"/>
    <mergeCell ref="A110:D110"/>
    <mergeCell ref="H123:I123"/>
    <mergeCell ref="A127:G127"/>
    <mergeCell ref="A106:D106"/>
    <mergeCell ref="A105:B105"/>
    <mergeCell ref="F106:G107"/>
    <mergeCell ref="H106:I107"/>
    <mergeCell ref="E106:E107"/>
    <mergeCell ref="A35:E35"/>
    <mergeCell ref="F47:I47"/>
    <mergeCell ref="F45:I46"/>
    <mergeCell ref="A37:E37"/>
    <mergeCell ref="F35:I35"/>
    <mergeCell ref="A114:D114"/>
    <mergeCell ref="H108:I108"/>
    <mergeCell ref="A109:D109"/>
    <mergeCell ref="A108:D108"/>
    <mergeCell ref="F108:G108"/>
    <mergeCell ref="F110:G110"/>
    <mergeCell ref="F114:G114"/>
    <mergeCell ref="H110:I110"/>
    <mergeCell ref="F109:G109"/>
    <mergeCell ref="H109:I109"/>
    <mergeCell ref="B82:E82"/>
    <mergeCell ref="B81:E81"/>
    <mergeCell ref="B61:E61"/>
    <mergeCell ref="F76:I76"/>
    <mergeCell ref="B71:E71"/>
    <mergeCell ref="B76:E76"/>
    <mergeCell ref="F77:I77"/>
    <mergeCell ref="B94:E94"/>
    <mergeCell ref="F94:I94"/>
    <mergeCell ref="A146:G146"/>
    <mergeCell ref="H146:I146"/>
    <mergeCell ref="A143:G143"/>
    <mergeCell ref="D160:E160"/>
    <mergeCell ref="F63:I63"/>
    <mergeCell ref="B65:E65"/>
    <mergeCell ref="A50:A51"/>
    <mergeCell ref="H103:I103"/>
    <mergeCell ref="F100:G100"/>
    <mergeCell ref="A132:G132"/>
    <mergeCell ref="H121:I121"/>
    <mergeCell ref="A116:D116"/>
    <mergeCell ref="F116:G116"/>
    <mergeCell ref="B84:E84"/>
    <mergeCell ref="F91:I91"/>
    <mergeCell ref="B93:E93"/>
    <mergeCell ref="F80:I80"/>
    <mergeCell ref="B68:E68"/>
    <mergeCell ref="F73:I73"/>
    <mergeCell ref="F82:I82"/>
    <mergeCell ref="F79:I79"/>
    <mergeCell ref="B80:E80"/>
    <mergeCell ref="B79:E79"/>
    <mergeCell ref="B77:E77"/>
    <mergeCell ref="A121:G121"/>
    <mergeCell ref="A118:D118"/>
    <mergeCell ref="A142:G142"/>
    <mergeCell ref="F81:I81"/>
    <mergeCell ref="B90:E90"/>
    <mergeCell ref="G58:I59"/>
    <mergeCell ref="C176:E176"/>
    <mergeCell ref="F175:I176"/>
    <mergeCell ref="B168:E168"/>
    <mergeCell ref="F168:I168"/>
    <mergeCell ref="C175:E175"/>
    <mergeCell ref="B170:E170"/>
    <mergeCell ref="B169:E169"/>
    <mergeCell ref="H114:I114"/>
    <mergeCell ref="H130:I130"/>
    <mergeCell ref="A124:E124"/>
    <mergeCell ref="H125:I125"/>
    <mergeCell ref="B148:E148"/>
    <mergeCell ref="B157:E157"/>
    <mergeCell ref="F118:G119"/>
    <mergeCell ref="A122:G122"/>
    <mergeCell ref="A147:G147"/>
    <mergeCell ref="H147:I147"/>
    <mergeCell ref="G164:I164"/>
    <mergeCell ref="D162:E162"/>
    <mergeCell ref="B158:E158"/>
    <mergeCell ref="B151:E151"/>
    <mergeCell ref="G155:G156"/>
    <mergeCell ref="F149:I149"/>
    <mergeCell ref="B172:E172"/>
    <mergeCell ref="A53:A54"/>
    <mergeCell ref="B92:E92"/>
    <mergeCell ref="A98:D98"/>
    <mergeCell ref="F169:I169"/>
    <mergeCell ref="B171:E171"/>
    <mergeCell ref="D161:E161"/>
    <mergeCell ref="B164:E164"/>
    <mergeCell ref="B160:C162"/>
    <mergeCell ref="A160:A162"/>
    <mergeCell ref="F170:I170"/>
    <mergeCell ref="A120:I120"/>
    <mergeCell ref="H131:I131"/>
    <mergeCell ref="A130:G130"/>
    <mergeCell ref="H143:I143"/>
    <mergeCell ref="H140:I140"/>
    <mergeCell ref="H141:I141"/>
    <mergeCell ref="A119:C119"/>
    <mergeCell ref="E118:E119"/>
    <mergeCell ref="H98:I98"/>
    <mergeCell ref="A101:D101"/>
    <mergeCell ref="F101:G101"/>
    <mergeCell ref="H101:I101"/>
    <mergeCell ref="F83:I83"/>
    <mergeCell ref="B96:I96"/>
    <mergeCell ref="F171:I171"/>
    <mergeCell ref="I155:I156"/>
    <mergeCell ref="F155:F156"/>
    <mergeCell ref="F148:I148"/>
    <mergeCell ref="G166:I166"/>
    <mergeCell ref="B166:E166"/>
    <mergeCell ref="B167:E167"/>
    <mergeCell ref="F167:I167"/>
    <mergeCell ref="B163:E163"/>
    <mergeCell ref="B155:E156"/>
    <mergeCell ref="B150:E150"/>
    <mergeCell ref="B149:E149"/>
    <mergeCell ref="F150:I150"/>
    <mergeCell ref="B165:E165"/>
    <mergeCell ref="F165:I165"/>
    <mergeCell ref="H155:H156"/>
    <mergeCell ref="B159:E159"/>
    <mergeCell ref="F163:I163"/>
    <mergeCell ref="F70:I70"/>
    <mergeCell ref="B73:E73"/>
    <mergeCell ref="B70:E70"/>
    <mergeCell ref="B72:E72"/>
    <mergeCell ref="F151:I151"/>
    <mergeCell ref="B153:E153"/>
    <mergeCell ref="B47:E47"/>
    <mergeCell ref="F41:I41"/>
    <mergeCell ref="F39:I39"/>
    <mergeCell ref="F103:G103"/>
    <mergeCell ref="B85:E85"/>
    <mergeCell ref="F85:I85"/>
    <mergeCell ref="C86:I86"/>
    <mergeCell ref="F92:I92"/>
    <mergeCell ref="F93:I93"/>
    <mergeCell ref="B87:E87"/>
    <mergeCell ref="B88:E88"/>
    <mergeCell ref="F84:I84"/>
    <mergeCell ref="F90:I90"/>
    <mergeCell ref="H102:I102"/>
    <mergeCell ref="A100:D100"/>
    <mergeCell ref="H99:I99"/>
    <mergeCell ref="A97:I97"/>
    <mergeCell ref="A103:D103"/>
    <mergeCell ref="F29:I29"/>
    <mergeCell ref="F32:I32"/>
    <mergeCell ref="F28:I28"/>
    <mergeCell ref="F30:I30"/>
    <mergeCell ref="B89:E89"/>
    <mergeCell ref="A99:D99"/>
    <mergeCell ref="J75:N75"/>
    <mergeCell ref="F60:I60"/>
    <mergeCell ref="B62:E62"/>
    <mergeCell ref="F62:I62"/>
    <mergeCell ref="B63:E63"/>
    <mergeCell ref="B66:E66"/>
    <mergeCell ref="F67:I67"/>
    <mergeCell ref="B69:E69"/>
    <mergeCell ref="F61:I61"/>
    <mergeCell ref="B67:E67"/>
    <mergeCell ref="B75:E75"/>
    <mergeCell ref="F75:I75"/>
    <mergeCell ref="F72:I72"/>
    <mergeCell ref="F65:I65"/>
    <mergeCell ref="F69:I69"/>
    <mergeCell ref="B64:E64"/>
    <mergeCell ref="F64:I64"/>
    <mergeCell ref="B74:E74"/>
    <mergeCell ref="B8:E8"/>
    <mergeCell ref="B9:E9"/>
    <mergeCell ref="F9:I9"/>
    <mergeCell ref="B10:E10"/>
    <mergeCell ref="F74:I74"/>
    <mergeCell ref="F66:I66"/>
    <mergeCell ref="B15:E15"/>
    <mergeCell ref="B25:E25"/>
    <mergeCell ref="B18:E18"/>
    <mergeCell ref="F22:I22"/>
    <mergeCell ref="F20:I20"/>
    <mergeCell ref="B22:E22"/>
    <mergeCell ref="F21:I21"/>
    <mergeCell ref="B23:E23"/>
    <mergeCell ref="F23:I23"/>
    <mergeCell ref="F25:I25"/>
    <mergeCell ref="F24:I24"/>
    <mergeCell ref="F34:I34"/>
    <mergeCell ref="B32:E32"/>
    <mergeCell ref="B29:E29"/>
    <mergeCell ref="B33:E33"/>
    <mergeCell ref="F33:I33"/>
    <mergeCell ref="B26:E26"/>
    <mergeCell ref="F31:I31"/>
    <mergeCell ref="B41:E41"/>
    <mergeCell ref="B42:I42"/>
    <mergeCell ref="F50:F51"/>
    <mergeCell ref="B48:E48"/>
    <mergeCell ref="A1:I1"/>
    <mergeCell ref="A2:I2"/>
    <mergeCell ref="A3:I3"/>
    <mergeCell ref="F7:I7"/>
    <mergeCell ref="B7:E7"/>
    <mergeCell ref="B14:E14"/>
    <mergeCell ref="B11:E11"/>
    <mergeCell ref="B13:E13"/>
    <mergeCell ref="B17:E17"/>
    <mergeCell ref="F17:I17"/>
    <mergeCell ref="F11:G11"/>
    <mergeCell ref="B12:E12"/>
    <mergeCell ref="F12:I12"/>
    <mergeCell ref="F13:I13"/>
    <mergeCell ref="F14:I14"/>
    <mergeCell ref="F15:I15"/>
    <mergeCell ref="A6:I6"/>
    <mergeCell ref="A5:B5"/>
    <mergeCell ref="F10:I10"/>
    <mergeCell ref="F8:I8"/>
    <mergeCell ref="F153:I153"/>
    <mergeCell ref="B154:E154"/>
    <mergeCell ref="F154:I154"/>
    <mergeCell ref="B55:I55"/>
    <mergeCell ref="B53:E54"/>
    <mergeCell ref="B91:E91"/>
    <mergeCell ref="B34:E34"/>
    <mergeCell ref="B60:E60"/>
    <mergeCell ref="F71:I71"/>
    <mergeCell ref="B36:E36"/>
    <mergeCell ref="B52:E52"/>
    <mergeCell ref="F53:F54"/>
    <mergeCell ref="G53:G54"/>
    <mergeCell ref="F38:I38"/>
    <mergeCell ref="B39:E39"/>
    <mergeCell ref="G50:G51"/>
    <mergeCell ref="B50:E51"/>
    <mergeCell ref="B40:E40"/>
    <mergeCell ref="F36:I36"/>
    <mergeCell ref="F37:I37"/>
    <mergeCell ref="F52:I52"/>
    <mergeCell ref="F49:I49"/>
    <mergeCell ref="B38:E38"/>
    <mergeCell ref="F48:I48"/>
    <mergeCell ref="A155:A156"/>
    <mergeCell ref="F16:I16"/>
    <mergeCell ref="B16:E16"/>
    <mergeCell ref="B20:E20"/>
    <mergeCell ref="B30:E30"/>
    <mergeCell ref="B49:E49"/>
    <mergeCell ref="F40:I40"/>
    <mergeCell ref="F18:G18"/>
    <mergeCell ref="H18:I18"/>
    <mergeCell ref="B19:E19"/>
    <mergeCell ref="H100:I100"/>
    <mergeCell ref="B95:E95"/>
    <mergeCell ref="F95:I95"/>
    <mergeCell ref="F98:G98"/>
    <mergeCell ref="F99:G99"/>
    <mergeCell ref="F102:G102"/>
    <mergeCell ref="B21:E21"/>
    <mergeCell ref="B24:E24"/>
    <mergeCell ref="B28:E28"/>
    <mergeCell ref="B27:E27"/>
    <mergeCell ref="F27:I27"/>
    <mergeCell ref="F26:I26"/>
    <mergeCell ref="B31:E31"/>
    <mergeCell ref="H113:I113"/>
  </mergeCells>
  <phoneticPr fontId="0" type="noConversion"/>
  <conditionalFormatting sqref="G58 F58:F59 F44:I46">
    <cfRule type="cellIs" dxfId="1" priority="2" stopIfTrue="1" operator="equal">
      <formula>"No"</formula>
    </cfRule>
  </conditionalFormatting>
  <conditionalFormatting sqref="F39:F41 G39:I40">
    <cfRule type="cellIs" priority="3" stopIfTrue="1" operator="equal">
      <formula>"No"</formula>
    </cfRule>
    <cfRule type="expression" dxfId="0" priority="4" stopIfTrue="1">
      <formula>"F23=0"</formula>
    </cfRule>
  </conditionalFormatting>
  <dataValidations xWindow="740" yWindow="594" count="139">
    <dataValidation type="custom" allowBlank="1" showInputMessage="1" showErrorMessage="1" prompt="Maximum Qualifying deduction u/s 80CCC is Rs.1,50,000" sqref="H99:I99">
      <formula1>IF(F99&gt;=150000,150000, IF(F99&lt;150000, F99))</formula1>
    </dataValidation>
    <dataValidation type="whole" allowBlank="1" showInputMessage="1" showErrorMessage="1" errorTitle="PROPERTY VALUE" error="Value of the residential house property should be above Loan amount and should not exceed Rs.40 lakhs." promptTitle="PROPERTY VALUE" prompt="Value of the Residential House property should be above the loan amount and should not exceed Rs.50 lakhs." sqref="F89:I89">
      <formula1>F88</formula1>
      <formula2>5000000</formula2>
    </dataValidation>
    <dataValidation allowBlank="1" showInputMessage="1" showErrorMessage="1" prompt="Furnish Income from House property such as rent realized on letting out the house etc. Do not enter the amount here after  offsetting  the interest on housing loan against the income from house property.  Include only the Income." sqref="F148:I148"/>
    <dataValidation allowBlank="1" showInputMessage="1" showErrorMessage="1" promptTitle="Name of the Signatory to  Form 1" prompt="Insert Name of the Official who will sign on the Form 16, Form 12BA." sqref="G164:I164 G166:I166"/>
    <dataValidation type="list" allowBlank="1" showInputMessage="1" showErrorMessage="1" prompt="Enter Designation of the Signatory to Form 16, Form 12BA" sqref="F167:I167">
      <formula1>"Asst. Manager, Manager, Senior Manager, Chief Manager, Branch Manager, Asst. General Manager, Dy. General Manager, General Manager"</formula1>
    </dataValidation>
    <dataValidation allowBlank="1" showInputMessage="1" showErrorMessage="1" prompt="Enter name of the bank/Branch  where Income tax deducted is deposited." sqref="F168:I168"/>
    <dataValidation type="whole" allowBlank="1" showInputMessage="1" showErrorMessage="1" prompt="Maximum: 200 per month I.e., 2400 per year  " sqref="F157:F162">
      <formula1>F157</formula1>
      <formula2>2400</formula2>
    </dataValidation>
    <dataValidation allowBlank="1" showInputMessage="1" showErrorMessage="1" prompt="Enter Serial Number for Form 16 of the employee" sqref="F169:I169"/>
    <dataValidation allowBlank="1" showInputMessage="1" showErrorMessage="1" prompt="Enter Date on which Form 16 is issued. " sqref="F170:I171"/>
    <dataValidation allowBlank="1" showInputMessage="1" showErrorMessage="1" promptTitle="Int Income other than NSC Int." prompt="Furnish the Interest Income received during the financial year by the employee.  Do not include the Interest on NSC here. Separate provision made elsewhere.  " sqref="F149:I149"/>
    <dataValidation allowBlank="1" showInputMessage="1" showErrorMessage="1" promptTitle="MISCELLANEOUS INCOME" prompt="Furnish &quot;Other Income&quot;. Do not include Interest Income, NSC Interest, Income from House property here. Include other miscellaneous income here." sqref="F150:I150"/>
    <dataValidation allowBlank="1" showInputMessage="1" showErrorMessage="1" prompt=" " sqref="F165:I165"/>
    <dataValidation type="list" allowBlank="1" showInputMessage="1" showErrorMessage="1" promptTitle="Title of the Signatory to Form 1" prompt="Select the appropriate Title &quot;Mr/Mrs/Ms/Shri/Smt/Kum&quot; of the Official who will sign on the Form 16, Form 12BA." sqref="F164">
      <formula1>"Mr,Mrs,Ms,Shri,Smt,Kum"</formula1>
    </dataValidation>
    <dataValidation allowBlank="1" showInputMessage="1" showErrorMessage="1" promptTitle="Title of the Signatory to Form 1" prompt="Select the appropriate Title &quot;Mr/Mrs/Ms/Shri/Smt/Kum&quot; of the Official who will sign on the Form 16, Form 12BA." sqref="F166"/>
    <dataValidation operator="lessThanOrEqual" allowBlank="1" showInputMessage="1" showErrorMessage="1" errorTitle="Master Equity Plan" error="Maximum amount Rs.10,000" sqref="H135:I135"/>
    <dataValidation allowBlank="1" showInputMessage="1" showErrorMessage="1" prompt="Enter contribution to Home Loan account of NHB, Contribution to Housing Boards engaged in planning, developing and improvement of cities / towns" sqref="H137:I137"/>
    <dataValidation allowBlank="1" showInputMessage="1" showErrorMessage="1" prompt="Linked Cell.  Do not enter any values." sqref="H138:I138"/>
    <dataValidation type="decimal" operator="lessThanOrEqual" allowBlank="1" showInputMessage="1" showErrorMessage="1" prompt="Subscription to Infra Structure Bonds of ICICI, IFCI, IDBI etc Maximum Rs.100000" sqref="H139:I139">
      <formula1>100000</formula1>
    </dataValidation>
    <dataValidation allowBlank="1" showInputMessage="1" showErrorMessage="1" promptTitle="Conditions for Deductions -80GG" prompt="Assessee should not  receive HRA and should not own any house at employment place/business &amp;  claim the benefit of self occupancy. Least of  (1) Excess of rent paid over 10% of adjusted Total Income or  (2) Rs.5000 per month; (3) 25% of Adj. Total Incom" sqref="F108:G108"/>
    <dataValidation allowBlank="1" showInputMessage="1" showErrorMessage="1" prompt="Deduction in respect of interest on loan taken for higher education of individual's relative also will be allowed @100% of amountof interest paid on such loan. Relative means spouse and children of the individual. Max: 8 years." sqref="F110:G110"/>
    <dataValidation allowBlank="1" showInputMessage="1" showErrorMessage="1" promptTitle="School Fees" prompt="Enter amount of tuition fees paid for children/s. Evidence to be produced. " sqref="H122:I122"/>
    <dataValidation allowBlank="1" showInputMessage="1" showErrorMessage="1" prompt="Enter LIC Premia paid directly other than Salary Savings Scheme." sqref="H123:I123"/>
    <dataValidation allowBlank="1" showInputMessage="1" showErrorMessage="1" prompt="Enter CPF on arrears, if any paid during the year. Else leave it blank." sqref="H125:I125"/>
    <dataValidation allowBlank="1" showInputMessage="1" showErrorMessage="1" prompt="Enter contributions made to PPF during the Financial year. Minimum Rs.500 ; Madimum Rs.70,000 " sqref="H127:I127"/>
    <dataValidation allowBlank="1" showInputMessage="1" showErrorMessage="1" prompt="Enter amount of NSC purchased during the year. " sqref="H131:I132"/>
    <dataValidation allowBlank="1" showInputMessage="1" showErrorMessage="1" prompt="Enter remittance made to ULIP during the financial year." sqref="H133:I133"/>
    <dataValidation allowBlank="1" showInputMessage="1" showErrorMessage="1" promptTitle="MEDICAL EXPENDITURE - TER.DISEAS" prompt="Upto 40,000 for Individuals. Rs.1,00,000 for Senior / Very Senior Citizens(wef AY 2019-2020) " sqref="F109:G109"/>
    <dataValidation allowBlank="1" showInputMessage="1" showErrorMessage="1" prompt="Refer Section 80 G of IT Act to claim 100% deduction and 50% deduction for donations made to specified Charitable institutions." sqref="F114:G114"/>
    <dataValidation allowBlank="1" showInputMessage="1" showErrorMessage="1" promptTitle="EXPENDITURE FOR MEDICAL, 80DD" prompt="Amount of Deduction: Upto Rs.75,000 if disability is over 40% and Rs.1,25,000 if disability is over 80%" sqref="F106:G107"/>
    <dataValidation allowBlank="1" showInputMessage="1" showErrorMessage="1" promptTitle="SEC 80 DD" prompt="Amount of Deduction: Rs.50,000 with an additional Rs.50000, if the disability is severe exceeding 80% ie Rs.1.00 lakh.  " sqref="H106:I107"/>
    <dataValidation allowBlank="1" showInputMessage="1" showErrorMessage="1" promptTitle="LIC (SALARY SAVING SCHEME)" prompt="Do not enter any value here. It is a calculated cell." sqref="H124:I124"/>
    <dataValidation allowBlank="1" showInputMessage="1" showErrorMessage="1" promptTitle="80 EE" prompt="Conditions: Maximum amt: int payable amt shall not exceed Rs.1 lakh Period: Deduction is available for AY 2014-2015. If the int payable for the previous year 2013-2014 (ie AY 2014-15) is less than Rs.1 lakh the balance amnt shall be allowed in AY 2015-16." sqref="A111:D111"/>
    <dataValidation allowBlank="1" showInputMessage="1" showErrorMessage="1" prompt="Conditions: Maximum amt: int payable shall not exceed Rs.0.50 lakh Loan sanction Period: 01.04.2016 to 31.03.18. Maximum Loanamount: Rs.35 lakhs. Maximum House Property value: Rs.50 lakhs." sqref="F111:G111"/>
    <dataValidation type="list" allowBlank="1" showInputMessage="1" showErrorMessage="1" promptTitle="HANDICAPPED RESIDENT INDIVIDUAL" prompt="Amount of deduction:  A fixed deduction of 75000 shall be allowed.  If the person is suffering from severe physical disability, the deduction is 1,25,000. Provisions under 80DD for Certificate/meaning of disability apply to 80U." sqref="F117:G117">
      <formula1>"Yes, No"</formula1>
    </dataValidation>
    <dataValidation allowBlank="1" showInputMessage="1" showErrorMessage="1" promptTitle="HANDICAPPED RESIDENT INDIVIDUAL" prompt="Amount of deduction:  A fixed deduction of 75000 shall be allowed.  If the person is suffering from severe physical disability, the deduction is 1,25,000. Provisions under 80DD for Certificate/meaning of disability apply to 80U.  " sqref="F118:G119"/>
    <dataValidation allowBlank="1" showInputMessage="1" showErrorMessage="1" prompt="Enter NPS arrears, if any paid during the year. Else leave it blank." sqref="H126:I126"/>
    <dataValidation allowBlank="1" showInputMessage="1" showErrorMessage="1" prompt="Enter Interest charged in Housing Loan borrowed from other sources like Co-0p societies,LIC, etc." sqref="F93:I93"/>
    <dataValidation allowBlank="1" showInputMessage="1" showErrorMessage="1" prompt="Enter interest charged in Housing Loan account for the period ended Sep 17 " sqref="F91:I91"/>
    <dataValidation allowBlank="1" showInputMessage="1" showErrorMessage="1" prompt="Enter interest charged in Housing Loan account for the period ended March 18 " sqref="F92:I92"/>
    <dataValidation allowBlank="1" showInputMessage="1" showErrorMessage="1" prompt="Maximum Qualifying deduction u/s 80D is Rs.15,000" sqref="H104:I104"/>
    <dataValidation allowBlank="1" showInputMessage="1" showErrorMessage="1" promptTitle="DO NOT ENTER ANY VALUES" prompt="CALCULATED CELL - DO NOT ENTER ANY VALUES" sqref="F94:I95"/>
    <dataValidation allowBlank="1" showInputMessage="1" showErrorMessage="1" promptTitle="ANNUITY PLANS OF INS.CO'S" prompt="Contributions made to Annuity Plans of LIC and other Insurers. Maximum: Rs.1,50,000 Not eligible for deduction u/s 80 C Pension received shall be taxable in the year of receipt. Investment  Plans Example: Jeevan Suraksha" sqref="F99:G99"/>
    <dataValidation allowBlank="1" showInputMessage="1" showErrorMessage="1" promptTitle="MEDICLAIM INSURANCE" prompt="Amount ofAddl Deduction:* *If mediclaim insurance is taken for a parent, then premium paid upto Rs.25000 can be claimed as addl deduction if the parent is not a Sr citizen. If the parent is a Sr/Very Sr Citize, then the additional deduction is Rs.50,000. " sqref="F105:G105"/>
    <dataValidation allowBlank="1" showInputMessage="1" showErrorMessage="1" promptTitle="MEDICLAIM INSURANCE" prompt="Amount of Deduction: Self: Rs.25,000 (Max)  " sqref="F104:G104"/>
    <dataValidation type="whole" operator="lessThan" allowBlank="1" showInputMessage="1" showErrorMessage="1" promptTitle="Age of Parent" prompt="Please enter the age of the parent. For eg 45, 46 or 60 etc but less than 80 " sqref="D105">
      <formula1>81</formula1>
    </dataValidation>
    <dataValidation allowBlank="1" showErrorMessage="1" sqref="H100:H103 I100:I101"/>
    <dataValidation allowBlank="1" showInputMessage="1" showErrorMessage="1" promptTitle="DEDUCTION UNDER 80CCG" prompt="Deduction forInvestment made under any Equity Savings Scheme. 50% of the amount invested subject to a maximum of 25,000. Applicability: Resident Individual acquired Listed Equity Shares in accordance with a scheme notified by Central Govt.  " sqref="A103:D103"/>
    <dataValidation type="list" allowBlank="1" showInputMessage="1" showErrorMessage="1" errorTitle="Invalid Data" error="State &quot;Yes&quot; if Bank owned.Else &quot;No&quot;." promptTitle="BANK LEASED QUARTERS" prompt="State &quot;Yes&quot; if Quarters is taken on lease in Bank's name and rent paid by the Bank. Else &quot;No&quot;." sqref="F53">
      <formula1>"Yes, No"</formula1>
    </dataValidation>
    <dataValidation allowBlank="1" showInputMessage="1" showErrorMessage="1" errorTitle="Invalid Data" error="State &quot;Yes&quot; if Bank owned.Else &quot;No&quot;." promptTitle="BANK LEASED QUARTERS" prompt="State &quot;Yes&quot; if Quarters is taken on lease in Bank's name and rent paid by the Bank. Else &quot;No&quot;." sqref="G53"/>
    <dataValidation type="list" allowBlank="1" showInputMessage="1" showErrorMessage="1" errorTitle="Invalid Data" error="Sex should be either &quot;Male &quot; or &quot;Female&quot;" sqref="F10:I10">
      <formula1>"Male, Female"</formula1>
    </dataValidation>
    <dataValidation type="list" allowBlank="1" showInputMessage="1" showErrorMessage="1" errorTitle="No. of Children" error="Select Number of children pursuing education from the list by click on the arrow adjacent. Eg 1 or 2 or 3" prompt="This information is required to calculate Deduction u/s 80C- Tuition expenses." sqref="F13:I13">
      <formula1>"0,1,2,3,4,5"</formula1>
    </dataValidation>
    <dataValidation type="list" allowBlank="1" showInputMessage="1" showErrorMessage="1" errorTitle="FINANCIAL YEAR" error="Select the relevant Financial year from the list box.  Format &quot;YYYY-YYYY&quot;. " prompt="Select Financial Year from the List. Format &quot;yyyy-yyyy&quot;" sqref="F24:I24">
      <formula1>"2003-2004, 2004-2005, 2005-2006,2006-2007,2007-2008,2008-2009,2009-2010,2010-2011,2011-2012,2012-2013,2013-2014,2014-2015,2015-2016,2016-2017,2017-2018,2018-2019,2019-2020,2020-2021"</formula1>
    </dataValidation>
    <dataValidation type="list" allowBlank="1" showInputMessage="1" showErrorMessage="1" errorTitle="ASSESSMENT YEAR" error="Assessment year should be in the format &quot;YYYY-YYYY&quot; " promptTitle="ASSESSMENT YEAR" prompt="Select Assessment year from the List" sqref="F25:I25">
      <formula1>"2004-2005, 2005-2006, 2006-2007,2007-2008,2008-2009,2009-2010,2010-2011,2011-2012,2012-2013,2013-2014,2014-2015,2015-2016,2016-2017,2017-2018,2018-2019,2019-2020,2020-2021,2021-2022"</formula1>
    </dataValidation>
    <dataValidation type="list" allowBlank="1" showInputMessage="1" showErrorMessage="1" errorTitle="Pension Option" error="Enter Yes, if you are a Pension Optee.  Else No." promptTitle="PENSION OR PF?" prompt="Select &quot;Yes&quot; if Pension Optee from the List Box. Else &quot;No&quot;" sqref="F30:I30">
      <formula1>"Yes, No"</formula1>
    </dataValidation>
    <dataValidation type="list" allowBlank="1" showInputMessage="1" showErrorMessage="1" errorTitle="HRA EXEMTPION" error="If you claim HRA exemption, then select &quot;Yes&quot;. Else choose &quot;No&quot;" promptTitle="HRA Exemption" prompt="If you claim HRA Exemption, then select Yes from the List. If no, Choose &quot;No&quot; from the list." sqref="F39:I39">
      <formula1>"Yes, No"</formula1>
    </dataValidation>
    <dataValidation allowBlank="1" showInputMessage="1" showErrorMessage="1" promptTitle="RENT PAID FOR HRA EXEMPTION" prompt="If You claim HRA exemption and chosen Yes above, state the rent paid per month.  Else leave blank." sqref="F58:F59 F44:I46"/>
    <dataValidation allowBlank="1" showInputMessage="1" showErrorMessage="1" promptTitle="Section 10(14) - Allowances:" prompt="Section 10(14) - Allowances: Where the cost of education or value of benefit does not exceed Rs.1000 per month per child or Rs.12000 per annum per child, perquisite value is Nil. " sqref="F47:I47"/>
    <dataValidation allowBlank="1" showInputMessage="1" showErrorMessage="1" promptTitle="Closing allowance" prompt="Enter Closing Allowance received by the Officer employee during the year. Sep + Mar." sqref="F48:I48"/>
    <dataValidation allowBlank="1" showInputMessage="1" showErrorMessage="1" prompt="Enter Entertainment allowance received during the year.  Fully taxable but deduction u/s 16(ii) for Govt  employees Least of the following: - Amount actually received.        or - Rs.5000         or - 20% of Salary (Salary =Basic)" sqref="F49:I49"/>
    <dataValidation type="list" allowBlank="1" showInputMessage="1" showErrorMessage="1" errorTitle="INVALID DATA" error="Select&quot;Yes&quot; from the List, if provided with Quarters. Else &quot;No&quot; from the List." promptTitle="BANKS OWN ACCOMODATION/QUARTERS" prompt="Select&quot;Yes&quot; from the List, if provided with Bank's Own Quarters. Else &quot;No&quot; from the List." sqref="F50:F51">
      <formula1>"Yes, No"</formula1>
    </dataValidation>
    <dataValidation type="list" allowBlank="1" showInputMessage="1" showErrorMessage="1" error="State&quot;Yes&quot; when the quarters is made available at places like  &quot;Chennai &quot;or &quot;Bangalore&quot; or &quot;Delhi&quot; or &quot;Mumbai&quot; etc where population exceeds 4 lakhs. Else state &quot;No&quot; " promptTitle="POPULATION DENSITY" prompt="Select the appropriate Population Limit of the place of working. To know of the population of your District, please visit &quot;www.censusindia.gov.in&quot;.  There is a space in the web page titled Population Finder.  Enter Urban Agglomeration and find population" sqref="F52:I52">
      <formula1>"&gt; 25 lakhs, Between 10 - 25 lakhs, &lt; 10 lakhs"</formula1>
    </dataValidation>
    <dataValidation type="list" allowBlank="1" showInputMessage="1" showErrorMessage="1" errorTitle="INVALID DATA" error="If Quarters is furnished by providing Cot, Almirah,Refrigerators etc, select &quot;Yes&quot;. Else select &quot;No&quot;" prompt="If Quarters is furnished with  Cot, Almirah,Refrigerators etc, select &quot;Yes&quot;. Else select &quot;No&quot;" sqref="F62:I62">
      <formula1>"Yes, No"</formula1>
    </dataValidation>
    <dataValidation allowBlank="1" showInputMessage="1" showErrorMessage="1" errorTitle="Invalid Data" error="Enter the value of furniture provided such as Almirahs, Cot, Refrigerators, etc." promptTitle="Value of Furniture:[Refer OFF]" prompt="Enter the value of furniture provided such as Almirahs, Cot, Refrigerators, etc. Enter the amount. Do not use comma's(,)." sqref="F63:I63"/>
    <dataValidation type="list" allowBlank="1" showInputMessage="1" showErrorMessage="1" promptTitle="Car?" prompt="Select &quot;Yes&quot; from the list, if provided with Car. Else select &quot;No&quot;" sqref="F64:I64">
      <formula1>"Yes, No"</formula1>
    </dataValidation>
    <dataValidation type="list" allowBlank="1" showInputMessage="1" showErrorMessage="1" errorTitle="INVALID DATA" error="Select &quot;Yes&quot; if provided with Driver. Else select &quot;No&quot;" promptTitle="DRIVER?" prompt="Select &quot;Yes&quot; if provided with Driver. Else select &quot;No&quot;" sqref="F65:I65">
      <formula1>"Yes, No"</formula1>
    </dataValidation>
    <dataValidation type="textLength" operator="equal" showInputMessage="1" showErrorMessage="1" errorTitle="INVALID DATA" error="Do not enter any values in this cell. Enter in the following cells." promptTitle="Engine Capacity" prompt="Select &quot;Yes&quot; if car's engine capacity is Less than 1.6 litres. Else select &quot;No&quot;" sqref="F66:I66">
      <formula1>0</formula1>
    </dataValidation>
    <dataValidation type="list" allowBlank="1" showInputMessage="1" showErrorMessage="1" errorTitle="Invalid Data" error="Select &quot; Yes &quot; or &quot; No &quot;" promptTitle="Engine capacity &lt; 1.6 Litres" prompt="Maruti 800, Ambassador, Ford Ikon, Opel Corsa are all below 1.6 litres." sqref="F67:I68">
      <formula1>"Yes, No"</formula1>
    </dataValidation>
    <dataValidation type="list" allowBlank="1" showInputMessage="1" showErrorMessage="1" errorTitle="INVALID DATA" error="Select &quot;Yes&quot; or &quot;No&quot;" promptTitle="USAGE OF CAR" prompt="If car is used wholly for official purposes select &quot;Yes&quot;. Ensure that the Log sheet is maintained and duly certified by the Supervisory authority that it is exclusively used for Official purposes only." sqref="F69:I69">
      <formula1>"Yes, No"</formula1>
    </dataValidation>
    <dataValidation type="list" allowBlank="1" showInputMessage="1" showErrorMessage="1" errorTitle="Invalid Data" error="Select &quot;Yes&quot; or &quot;No&quot;" prompt="If Car is used partly for Official and partly for Personal/Private, Select &quot;Yes&quot; from the list.   Else select &quot;No&quot;" sqref="F70:I70">
      <formula1>"Yes, No"</formula1>
    </dataValidation>
    <dataValidation type="list" allowBlank="1" showInputMessage="1" showErrorMessage="1" errorTitle="Invalid data" error="Select &quot;Yes&quot; or &quot;No&quot;" prompt="If car is used for Private and Personal Purpose only,Select &quot;Yes&quot;.  Also Furnish particular under S.No 38,39,40. Else Select &quot;No&quot;. and render S.No.38,39,40 blank." sqref="F71:I71">
      <formula1>"Yes, No"</formula1>
    </dataValidation>
    <dataValidation allowBlank="1" showInputMessage="1" showErrorMessage="1" prompt="If Car is used wholly for Personal/Private, furnish the expenses incurred during the year in running and maintaining the car." sqref="F72:I72"/>
    <dataValidation allowBlank="1" showInputMessage="1" showErrorMessage="1" prompt="If car is used wholly for Personal/Private, furnish the cost of car as given in OFF Ledger." sqref="F73:I73"/>
    <dataValidation allowBlank="1" showInputMessage="1" showErrorMessage="1" prompt="If car is used wholly for Personal/private, furnish the salary of the dirver paid per month." sqref="F74:I74"/>
    <dataValidation allowBlank="1" showInputMessage="1" showErrorMessage="1" prompt="Click link to furnish details. To know further details click adjoining link. Upon completion of the details of Perks on interest free Loans,  ensure that the worksheet is saved and Data sheet is selected for furnishing further details." sqref="F75:I75"/>
    <dataValidation allowBlank="1" showInputMessage="1" showErrorMessage="1" promptTitle="Reimbursement of Medical Expense" prompt="Furnish amount reimbursed as Medical expenses for employee /Dependents" sqref="F76:I76"/>
    <dataValidation allowBlank="1" showInputMessage="1" showErrorMessage="1" promptTitle="CLICK ON HYPERLINK - NSC IX" prompt="Chargeable to tax as Income from Other Sources. Deductible under Sec 80 C. Interest for 10th Year not eligible for Deduction u/s 80C" sqref="F78:I78"/>
    <dataValidation type="list" allowBlank="1" showInputMessage="1" showErrorMessage="1" errorTitle="INVALID DATA" error="If employee owns a house, select &quot;Yes&quot;. Else select &quot;No&quot;" prompt="If employee owns a house, select &quot;Yes&quot;. Else select &quot;No&quot;" sqref="F79:I79">
      <formula1>"Yes, No"</formula1>
    </dataValidation>
    <dataValidation type="list" allowBlank="1" showInputMessage="1" showErrorMessage="1" error="State &quot;Yes&quot; if availed. Else &quot;No&quot;. Ensure  to fill in F-42 or F-43 as the case may be" prompt="State &quot;Yes&quot; if availed. Else &quot;No&quot;. Ensure  to fill in F-42 or F-43 as the case may be" sqref="F80:I81">
      <formula1>"Yes,No"</formula1>
    </dataValidation>
    <dataValidation type="textLength" operator="equal" allowBlank="1" showInputMessage="1" showErrorMessage="1" prompt="Do not enter any value in this cell. Enter the relevant values in the F83 or F84 ." sqref="F82:I82">
      <formula1>0</formula1>
    </dataValidation>
    <dataValidation type="list" allowBlank="1" showInputMessage="1" showErrorMessage="1" errorTitle="Invalid Data" error="If Housing Loan availed before 1st April 99, state &quot;Yes&quot;" promptTitle="Prior to April 99?" prompt="If Housing Loan availed before 1st April 99, state &quot;Yes&quot;" sqref="F83:I83">
      <formula1>"Yes,No"</formula1>
    </dataValidation>
    <dataValidation type="list" allowBlank="1" showInputMessage="1" showErrorMessage="1" error="If Housing Loan availed after 1st April 1999,say &quot;Yes&quot;.  Else &quot;No&quot;" promptTitle="Availment subsequent  April 99?" prompt="If Housing Loan availed after 1st April 1999 &amp; before 1st April 2016 ,say &quot;Yes&quot;.  Else &quot;No&quot;" sqref="F84:I84">
      <formula1>"Yes, No"</formula1>
    </dataValidation>
    <dataValidation allowBlank="1" showInputMessage="1" showErrorMessage="1" promptTitle="Name of the Employee" prompt="Enter Name of the Employee" sqref="F7:I7"/>
    <dataValidation type="whole" operator="notEqual" showInputMessage="1" showErrorMessage="1" errorTitle="PF Number" error="PF number cannot be blank. Enter only Numbers." sqref="F8:I8">
      <formula1>0</formula1>
    </dataValidation>
    <dataValidation operator="greaterThanOrEqual" allowBlank="1" showInputMessage="1" showErrorMessage="1" error="Enter Designation of the employee" prompt="Enter Designation of the Employee" sqref="F9:I9"/>
    <dataValidation type="textLength" operator="equal" allowBlank="1" showInputMessage="1" showErrorMessage="1" errorTitle="PERMANENT ACCOUNT NUMBER" error="PAN SHOULD BE A TEN DIGIT ALPHANUMERIC EG: AAFPK9533M" promptTitle="MANDATORY - PAN" prompt="Please enter PAN of the Employee - M A N D A T O R Y" sqref="F21:I21">
      <formula1>10</formula1>
    </dataValidation>
    <dataValidation allowBlank="1" showInputMessage="1" showErrorMessage="1" promptTitle="EARNINGS PARTICULARS" prompt="Click &quot;Earnings Sheet&quot; link to open up the Salary details of the employee. COMPULSORILY DETAILS TO BE ENTERED" sqref="F26:I26"/>
    <dataValidation type="list" allowBlank="1" showInputMessage="1" showErrorMessage="1" promptTitle="QUARTERS IN PERSONAL NAME" prompt="Enter &quot;Yes&quot; if the quarters is taken on lease in the personal name of the employee and rent paid by him or reimbursed by the Bank. " sqref="F60:I60">
      <formula1>"Yes,No"</formula1>
    </dataValidation>
    <dataValidation type="list" allowBlank="1" showInputMessage="1" showErrorMessage="1" promptTitle="Employment Place" prompt="Select the City where employed. This is for the purpose of calculation of HR Exemption under 10(13)A" sqref="F16:I16">
      <formula1>"Metro,Non-Metro"</formula1>
    </dataValidation>
    <dataValidation allowBlank="1" showInputMessage="1" showErrorMessage="1" promptTitle="Address " prompt="Please enter the full address of the Branch / Office which is to be printed on Form 16 as address of the employer" sqref="F15:I15"/>
    <dataValidation allowBlank="1" showInputMessage="1" showErrorMessage="1" prompt="Enter Branch Name or Office Name.  This will be printed on Form 16 and Form 12BA." sqref="F14:I14"/>
    <dataValidation allowBlank="1" showInputMessage="1" showErrorMessage="1" promptTitle="PAN/GIR OF OFFICE" prompt="Please enter PAN or GIR Number of the Office" sqref="F20:I20"/>
    <dataValidation allowBlank="1" showInputMessage="1" showErrorMessage="1" promptTitle="SALARY ARREARS" prompt="Enter arrears of salary received, if any during the financial year." sqref="F27:I28"/>
    <dataValidation allowBlank="1" showInputMessage="1" showErrorMessage="1" promptTitle="LEAVE ENCASHMENT" prompt="Enter PL Encashment amount, if any made during the financial year." sqref="F32:I32"/>
    <dataValidation allowBlank="1" showInputMessage="1" showErrorMessage="1" promptTitle="PERFORMANCE INCENTIVE" prompt="Enter the amount received as Performance incentive during the year 2018-2019  " sqref="F34:I34"/>
    <dataValidation allowBlank="1" showInputMessage="1" showErrorMessage="1" prompt="Refer PF contribution List for Details " sqref="F31:I31"/>
    <dataValidation allowBlank="1" showInputMessage="1" showErrorMessage="1" promptTitle="Enter the name of the Firm " prompt="Please enter the name of the firm/Company/Institution" sqref="A1:I1"/>
    <dataValidation allowBlank="1" showInputMessage="1" showErrorMessage="1" prompt="Please find out the population as per 2001 census of the place of working and choose the values accordingly. Hint: Use the Web site &quot;www.censusindia.gov.in&quot; and use Population finder facility in the web page to find out the population density. " sqref="B52:E52"/>
    <dataValidation allowBlank="1" showInputMessage="1" showErrorMessage="1" promptTitle="LEASED QUARTERS" prompt="Enter the rent paid by the Bank for the leased Quarters. " sqref="B55"/>
    <dataValidation allowBlank="1" showInputMessage="1" showErrorMessage="1" promptTitle="QUARTERS IN PERSONAL NAME" prompt="Enter &quot;Yes&quot; if quarters is taken in personal name and rent paid by the employee or rent reimbursed bythe Bank. Else &quot;No&quot;" sqref="B60:E60"/>
    <dataValidation allowBlank="1" showInputMessage="1" showErrorMessage="1" promptTitle="QUARTERS IN PERSONAL NAME" prompt="Enter the Rent paid/reimbursed per month for the quarters, if taken on lease in the personal name of the employee" sqref="F61:I61"/>
    <dataValidation allowBlank="1" showInputMessage="1" showErrorMessage="1" promptTitle="QUARTERS IN PERSONAL NAME" prompt="Enter the rent paid by the employee or rent reimbursed bythe Bank. if the quarters is taken in personal name and rent paid/reimbursed by the Bank" sqref="B61:E61"/>
    <dataValidation allowBlank="1" showInputMessage="1" showErrorMessage="1" promptTitle="TRAVEL CONCESSION OUTSIDE INDIA" prompt="In terms of Staff Circular No.5734 dt 22.2.2011, any reimbursement made for the travel undertaken for any place outside India is to be included for computing the income from salaries for the purpose of TDS/Income Tax" sqref="F38:I38"/>
    <dataValidation type="list" allowBlank="1" showInputMessage="1" showErrorMessage="1" promptTitle="Employment State" prompt="Select the State from the Drop Down List. Employees of Maharastra and Uttar Pradesh, Choose the appropriate Items, such as Maharashtra I or II or II after ascertaining the Jurisdictional district of each part of Maharastra. Likewise for Uttar Pradesh I/II" sqref="F17:I17">
      <formula1>States_r</formula1>
    </dataValidation>
    <dataValidation type="list" allowBlank="1" showInputMessage="1" showErrorMessage="1" sqref="F18:G18">
      <formula1>JurisdictionalDistrict</formula1>
    </dataValidation>
    <dataValidation allowBlank="1" showInputMessage="1" showErrorMessage="1" errorTitle="Date of Birth" error="Please enter in dd/mm/yyyy format" promptTitle="DATE OF BIRTH" prompt="Please input your date of birth in dd/mm/yyyy format. Eg: 14/11/1962." sqref="F11 H11"/>
    <dataValidation allowBlank="1" showInputMessage="1" showErrorMessage="1" errorTitle="Date of Birth" error="Please enter in dd/mm/yyyy format" sqref="F12:I12"/>
    <dataValidation allowBlank="1" showInputMessage="1" showErrorMessage="1" errorTitle="HRA EXEMTPION" error="If you claim HRA exemption, then select &quot;Yes&quot;. Else choose &quot;No&quot;" promptTitle="Rent Paid Per Month" prompt="Please enter the Rent paid per month. The rent should have remained the same throughout the financial year. " sqref="F41:I41"/>
    <dataValidation type="list" allowBlank="1" showInputMessage="1" showErrorMessage="1" errorTitle="HRA EXEMTPION" error="If you claim HRA exemption, then select &quot;Yes&quot;. Else choose &quot;No&quot;" promptTitle="HRA Exemption - Full or Part?" prompt="Please select Full Year if HRA exemption is claimed for the full Financial year.  Else select Part of the Year." sqref="F40:I40">
      <formula1>"Full Year, Part of the Year"</formula1>
    </dataValidation>
    <dataValidation allowBlank="1" showInputMessage="1" showErrorMessage="1" promptTitle="CLICK ON HYPERLINK - NSC VIII " prompt="Chargeable to tax as Income from Other Sources. Deductible under Sec 80 C. Interest for 6th Year not eligible for Deduction u/s 80C" sqref="F77:I77"/>
    <dataValidation type="date" operator="lessThanOrEqual" allowBlank="1" showInputMessage="1" showErrorMessage="1" sqref="I51">
      <formula1>44286</formula1>
    </dataValidation>
    <dataValidation type="date" operator="greaterThan" allowBlank="1" showInputMessage="1" showErrorMessage="1" prompt="Type the date from which the Bank quarters is occupied and standard rent recovered (dd/mm/yyyy) " sqref="H51">
      <formula1>40999</formula1>
    </dataValidation>
    <dataValidation allowBlank="1" showInputMessage="1" showErrorMessage="1" error="State&quot;Yes&quot; when the quarters is made available at places like  &quot;Chennai &quot;or &quot;Bangalore&quot; or &quot;Delhi&quot; or &quot;Mumbai&quot; etc where population exceeds 4 lakhs. Else state &quot;No&quot; " promptTitle="POPULATION DENSITY" prompt="Select the appropriate Population Limit of the place of working. To know of the population of your District, please visit &quot;www.censusindia.gov.in&quot;.  There is a space in the web page titled Population Finder.  Enter Urban Agglomeration and find population" sqref="H53:I53"/>
    <dataValidation allowBlank="1" showErrorMessage="1" prompt=" " sqref="G58:I59 F23:I23"/>
    <dataValidation allowBlank="1" showInputMessage="1" showErrorMessage="1" promptTitle="RENT PAID FOR BANK'S QUARTERS" prompt="State the rent paid per month.  Else leave blank." sqref="B57:I57 B59:E59"/>
    <dataValidation allowBlank="1" showInputMessage="1" showErrorMessage="1" promptTitle="LABELS" prompt="Green coloured cells indicate Labels/display cells: Cannot be edited." sqref="C5"/>
    <dataValidation allowBlank="1" showInputMessage="1" showErrorMessage="1" promptTitle="CALCULATED FIELDS" prompt="Red colour cells indicate Calculated fields returning values based on inputs.  Cannot be edited." sqref="E5"/>
    <dataValidation allowBlank="1" showInputMessage="1" showErrorMessage="1" promptTitle="DROP DOWN LISTS" prompt="Yellow coloured cells indicate presence of drop down list facility. Users should select options by clicking on the drop down lists." sqref="G5"/>
    <dataValidation allowBlank="1" showInputMessage="1" showErrorMessage="1" promptTitle="DATA CELLS" prompt="Grey coloured cells indicate that the users need to furnish the required data. Editable." sqref="I5"/>
    <dataValidation allowBlank="1" showInputMessage="1" showErrorMessage="1" errorTitle="Date of Birth" error="Please enter in dd/mm/yyyy format" promptTitle="AGE IN YEARS" prompt="Cell Protected" sqref="I11"/>
    <dataValidation type="date" operator="lessThanOrEqual" allowBlank="1" showInputMessage="1" showErrorMessage="1" errorTitle="Invalid Data" error="State &quot;Yes&quot; if Bank owned.Else &quot;No&quot;." promptTitle="BANK LEASED QUARTERS" sqref="I54">
      <formula1>44286</formula1>
    </dataValidation>
    <dataValidation allowBlank="1" showInputMessage="1" showErrorMessage="1" errorTitle="Invalid Data" error="State &quot;Yes&quot; if Bank owned.Else &quot;No&quot;." promptTitle="BANK LEASED QUARTERS" prompt="Type the date from which the lease is taken (dd/mm/yyyy) " sqref="H54"/>
    <dataValidation type="list" allowBlank="1" showInputMessage="1" showErrorMessage="1" errorTitle="PROPERTY VALUE" error="Value of the residential house property should not exceed Rs.40 lakhs." promptTitle="PROPERTY OWNERSHIP DECLARATION" prompt="Select &quot;Yes&quot; if you already own any other residential property on the date of the loan. Select &quot;No&quot; if you do not own any other Res. property on the date of the loan" sqref="F90:I90">
      <formula1>"Yes,No"</formula1>
    </dataValidation>
    <dataValidation type="whole" allowBlank="1" showInputMessage="1" showErrorMessage="1" errorTitle="LOAN AMOUNT U/S SEC 80EE" error="Loan  for acquisition of the residential house property should not exceed Rs.25,00,000" promptTitle="LOAN AMOUNT U/S SEC 80EE" prompt="Please input the loan sanctioned.  Please note that the amount of loan sanctioned for acquisition of the residential house property should not exceed Rs.35,00,000" sqref="F88:I88">
      <formula1>0</formula1>
      <formula2>3500000</formula2>
    </dataValidation>
    <dataValidation type="date" allowBlank="1" showInputMessage="1" showErrorMessage="1" errorTitle="LOAN SANCTION DATE" error="Loan should be sanctioned during the period 1st April 2013 to 31 March 2014" promptTitle="LOAN SANCTION DATE" prompt="Loan should be sanctioned after Financial Year 2016-2017 ie after during 1 April 16 to March 2018 " sqref="F87:I87">
      <formula1>42461</formula1>
      <formula2>42825</formula2>
    </dataValidation>
    <dataValidation allowBlank="1" showInputMessage="1" showErrorMessage="1" error="If Housing Loan availed after 1st April 2013 ,say &quot;Yes&quot;.  Else &quot;No&quot;" promptTitle="Availment during 2016-2017?" prompt="If Housing Loan availed during 2016-2017, state &quot;Yes&quot;, Else &quot;No&quot;) " sqref="F85:I85"/>
    <dataValidation allowBlank="1" showInputMessage="1" showErrorMessage="1" promptTitle="LFC ENCASHMENT" prompt="Enter LFC.   Encashment amount, if any made during the financial year." sqref="F33:I33"/>
    <dataValidation allowBlank="1" showInputMessage="1" showErrorMessage="1" prompt="Maximum Qualifying deduction u/s 80D (Senior Citizen and Very Senior Citizen)  is Rs.50,000" sqref="H105:I105"/>
    <dataValidation allowBlank="1" showInputMessage="1" showErrorMessage="1" promptTitle="DEDN TO APPROVED PENSION SCHEMES" prompt="WEF 2016-17: Additional dedn u/s 80CCD[1B] for employee contribution to NPS Rs.50,000. This is an additional deduction and shall not be included in the overall ceiling limit of Rs.1,50,000 u/s 80CCE." sqref="F101:G101"/>
    <dataValidation type="textLength" operator="equal" allowBlank="1" showInputMessage="1" showErrorMessage="1" errorTitle="PERMANENT ACCOUNT NUMBER" error="PAN SHOULD BE A TEN DIGIT ALPHANUMERIC EG: AAFPK9533M" promptTitle="MANDATORY - PAN" prompt="Please enter TAN of the Employer - M A N D A T O R Y" sqref="F22:I22">
      <formula1>10</formula1>
    </dataValidation>
    <dataValidation allowBlank="1" showInputMessage="1" showErrorMessage="1" promptTitle="INTEREST ON SB" prompt="Interest earned on SB account from a Nationalized / Scheduled Bank, Co-operative Bank or from Post office is exempted upto Rs.10,000 for Individuals /HUFs (Junior Citizens) " sqref="F115:G115"/>
    <dataValidation allowBlank="1" showInputMessage="1" showErrorMessage="1" promptTitle="INT ON DEP (SR/VERY SR. CITIZENS" prompt="Interest earned on SB account from a Nationalized / Scheduled Bank, Co-operative Bank or from Post office is exempted upto Rs.50,000 for Individuals /HUFs (Junior Citizens) " sqref="F116:G116"/>
    <dataValidation allowBlank="1" showInputMessage="1" showErrorMessage="1" promptTitle="ESPS" prompt="Furnish number of shares applied under ESPS" sqref="F151:I151"/>
    <dataValidation allowBlank="1" showInputMessage="1" showErrorMessage="1" promptTitle="ESPS" prompt="Please enter number of shares allotted under ESPS" sqref="F152:I152"/>
    <dataValidation allowBlank="1" showInputMessage="1" showErrorMessage="1" promptTitle="ESPS" prompt="Please enter Fair Market value on the date of allotment." sqref="F153:I153"/>
    <dataValidation allowBlank="1" showInputMessage="1" showErrorMessage="1" promptTitle="ESPS" prompt="The issue price per share under ESPS 2019 is Rs.58.49 as per IC 01487-2019 dated 5.3.2019" sqref="F154:I154"/>
    <dataValidation allowBlank="1" showInputMessage="1" showErrorMessage="1" promptTitle="80 EEA" sqref="A112:D113"/>
    <dataValidation allowBlank="1" showInputMessage="1" showErrorMessage="1" promptTitle="80EEA" prompt="Conditions: a. Loan to be sanctioned between 01.4.19 to 31.3.20 b. Stamp duty &lt;=45 lakhs. c. Assessee does not own any residential house property on loan sanction date. Maximum Deduction: 1,50,000. The above deduction not available under any other section" sqref="F112:G112"/>
    <dataValidation allowBlank="1" showInputMessage="1" showErrorMessage="1" promptTitle="80EEB" prompt="Deduction from Gross Total INcome in respect of the interest payable on loantaken by him from anyfinancial institution for the purpose of purchase of an electric vehicle, if the loan has been sanctioned by the fin. inst from 1.4.19 to 31.3.23." sqref="F113:G113"/>
    <dataValidation type="list" allowBlank="1" showInputMessage="1" showErrorMessage="1" sqref="I4">
      <formula1>"Yes,No"</formula1>
    </dataValidation>
  </dataValidations>
  <hyperlinks>
    <hyperlink ref="F26:I26" location="'Earnings Sheet'!A1" tooltip="Please fill in all the details of Earnings Sheet" display="Earnings Sheet"/>
    <hyperlink ref="F75:I75" location="'Perks on Loans'!A1" tooltip="Pls fill in the details of the worksheet" display="Perks on Interest Concession Loans/Advances"/>
    <hyperlink ref="B77:E77" location="'NSC VIII Issue'!A1" tooltip="Click link to open NSC Interest Accrual Worksheet" display="Accrued Interest on NSC VIII Issue purchased"/>
    <hyperlink ref="B78:E78" location="'NSC IX Issue'!A1" display="Accrued Interest on NSC IX Issue purchased"/>
  </hyperlinks>
  <pageMargins left="0.74803149606299202" right="0.74803149606299202" top="1.0905511809999999" bottom="1.0905511809999999" header="0.511811023622047" footer="0.511811023622047"/>
  <pageSetup paperSize="9" scale="70" orientation="portrait" r:id="rId2"/>
  <headerFooter alignWithMargins="0">
    <oddHeader>&amp;A</oddHeader>
    <oddFooter>Page &amp;P of &amp;N</oddFooter>
  </headerFooter>
  <rowBreaks count="1" manualBreakCount="1">
    <brk id="78" max="8" man="1"/>
  </rowBreaks>
  <legacyDrawing r:id="rId3"/>
</worksheet>
</file>

<file path=xl/worksheets/sheet8.xml><?xml version="1.0" encoding="utf-8"?>
<worksheet xmlns="http://schemas.openxmlformats.org/spreadsheetml/2006/main" xmlns:r="http://schemas.openxmlformats.org/officeDocument/2006/relationships">
  <sheetPr codeName="Sheet3" enableFormatConditionsCalculation="0">
    <tabColor indexed="53"/>
  </sheetPr>
  <dimension ref="A1:O137"/>
  <sheetViews>
    <sheetView topLeftCell="A112" workbookViewId="0">
      <selection activeCell="P115" sqref="P115"/>
    </sheetView>
  </sheetViews>
  <sheetFormatPr defaultRowHeight="15"/>
  <cols>
    <col min="1" max="1" width="9.140625" style="218"/>
    <col min="2" max="2" width="4.85546875" style="218" customWidth="1"/>
    <col min="3" max="3" width="9.140625" style="218"/>
    <col min="4" max="4" width="9.85546875" style="218" customWidth="1"/>
    <col min="5" max="5" width="15.42578125" style="218" customWidth="1"/>
    <col min="6" max="6" width="8.85546875" style="218" customWidth="1"/>
    <col min="7" max="7" width="8" style="218" customWidth="1"/>
    <col min="8" max="9" width="9.140625" style="218"/>
    <col min="10" max="10" width="8.7109375" style="218" customWidth="1"/>
    <col min="11" max="11" width="9.5703125" style="218" hidden="1" customWidth="1"/>
    <col min="12" max="12" width="14.5703125" style="218" hidden="1" customWidth="1"/>
    <col min="13" max="14" width="16.42578125" style="218" hidden="1" customWidth="1"/>
    <col min="15" max="15" width="17" style="218" hidden="1" customWidth="1"/>
    <col min="16" max="16" width="9.140625" style="218" customWidth="1"/>
    <col min="17" max="16384" width="9.140625" style="218"/>
  </cols>
  <sheetData>
    <row r="1" spans="1:10">
      <c r="A1" s="857" t="str">
        <f>'IT Declaration'!A1</f>
        <v>UNION BANK OF INDIA</v>
      </c>
      <c r="B1" s="857"/>
      <c r="C1" s="857"/>
      <c r="D1" s="857"/>
      <c r="E1" s="857"/>
      <c r="F1" s="857"/>
      <c r="G1" s="857"/>
      <c r="H1" s="857"/>
      <c r="I1" s="857"/>
      <c r="J1" s="857"/>
    </row>
    <row r="2" spans="1:10">
      <c r="A2" s="857">
        <f>'Data Sheet'!F14</f>
        <v>0</v>
      </c>
      <c r="B2" s="857"/>
      <c r="C2" s="857"/>
      <c r="D2" s="857"/>
      <c r="E2" s="857"/>
      <c r="F2" s="857"/>
      <c r="G2" s="857"/>
      <c r="H2" s="857"/>
      <c r="I2" s="857"/>
      <c r="J2" s="857"/>
    </row>
    <row r="3" spans="1:10" ht="15.75" thickBot="1">
      <c r="A3" s="858" t="s">
        <v>88</v>
      </c>
      <c r="B3" s="858"/>
      <c r="C3" s="858"/>
      <c r="D3" s="858"/>
      <c r="E3" s="858"/>
      <c r="F3" s="858"/>
      <c r="G3" s="858"/>
      <c r="H3" s="858"/>
      <c r="I3" s="858"/>
      <c r="J3" s="858"/>
    </row>
    <row r="4" spans="1:10" ht="16.5" thickTop="1" thickBot="1">
      <c r="A4" s="862" t="s">
        <v>6</v>
      </c>
      <c r="B4" s="860"/>
      <c r="C4" s="860"/>
      <c r="D4" s="860" t="str">
        <f>'Data Sheet'!F24</f>
        <v>2020-2021</v>
      </c>
      <c r="E4" s="860"/>
      <c r="F4" s="860" t="s">
        <v>7</v>
      </c>
      <c r="G4" s="860"/>
      <c r="H4" s="860" t="str">
        <f>'Data Sheet'!F25</f>
        <v>2021-2022</v>
      </c>
      <c r="I4" s="860"/>
      <c r="J4" s="861"/>
    </row>
    <row r="5" spans="1:10" ht="15.75" thickTop="1">
      <c r="A5" s="826" t="s">
        <v>9</v>
      </c>
      <c r="B5" s="826"/>
      <c r="C5" s="826"/>
      <c r="D5" s="826"/>
      <c r="E5" s="826"/>
      <c r="F5" s="859">
        <f>'Data Sheet'!F7</f>
        <v>0</v>
      </c>
      <c r="G5" s="859"/>
      <c r="H5" s="859"/>
      <c r="I5" s="859"/>
      <c r="J5" s="859"/>
    </row>
    <row r="6" spans="1:10">
      <c r="A6" s="222" t="s">
        <v>89</v>
      </c>
      <c r="B6" s="807"/>
      <c r="C6" s="807"/>
      <c r="D6" s="807"/>
      <c r="E6" s="807"/>
      <c r="F6" s="807"/>
      <c r="G6" s="807"/>
      <c r="H6" s="805" t="s">
        <v>90</v>
      </c>
      <c r="I6" s="805"/>
      <c r="J6" s="805"/>
    </row>
    <row r="7" spans="1:10">
      <c r="A7" s="223" t="s">
        <v>91</v>
      </c>
      <c r="B7" s="813" t="s">
        <v>92</v>
      </c>
      <c r="C7" s="813"/>
      <c r="D7" s="813"/>
      <c r="E7" s="813"/>
      <c r="F7" s="813"/>
      <c r="G7" s="813"/>
      <c r="H7" s="812">
        <f>'Earnings Sheet'!D18</f>
        <v>0</v>
      </c>
      <c r="I7" s="812"/>
      <c r="J7" s="812"/>
    </row>
    <row r="8" spans="1:10">
      <c r="A8" s="224">
        <v>2</v>
      </c>
      <c r="B8" s="813" t="s">
        <v>50</v>
      </c>
      <c r="C8" s="813"/>
      <c r="D8" s="813"/>
      <c r="E8" s="813"/>
      <c r="F8" s="813"/>
      <c r="G8" s="813"/>
      <c r="H8" s="812">
        <f>'Earnings Sheet'!G18+'Earnings Sheet'!N18</f>
        <v>0</v>
      </c>
      <c r="I8" s="812"/>
      <c r="J8" s="812"/>
    </row>
    <row r="9" spans="1:10">
      <c r="A9" s="224">
        <v>3</v>
      </c>
      <c r="B9" s="813" t="s">
        <v>93</v>
      </c>
      <c r="C9" s="813"/>
      <c r="D9" s="813"/>
      <c r="E9" s="813"/>
      <c r="F9" s="813"/>
      <c r="G9" s="813"/>
      <c r="H9" s="812">
        <f>'Earnings Sheet'!I18</f>
        <v>0</v>
      </c>
      <c r="I9" s="812"/>
      <c r="J9" s="812"/>
    </row>
    <row r="10" spans="1:10">
      <c r="A10" s="224">
        <v>4</v>
      </c>
      <c r="B10" s="813" t="s">
        <v>94</v>
      </c>
      <c r="C10" s="813"/>
      <c r="D10" s="813"/>
      <c r="E10" s="813"/>
      <c r="F10" s="813"/>
      <c r="G10" s="813"/>
      <c r="H10" s="812">
        <f>'Earnings Sheet'!H18</f>
        <v>0</v>
      </c>
      <c r="I10" s="812"/>
      <c r="J10" s="812"/>
    </row>
    <row r="11" spans="1:10">
      <c r="A11" s="224">
        <v>5</v>
      </c>
      <c r="B11" s="813" t="s">
        <v>95</v>
      </c>
      <c r="C11" s="813"/>
      <c r="D11" s="813"/>
      <c r="E11" s="813"/>
      <c r="F11" s="813"/>
      <c r="G11" s="813"/>
      <c r="H11" s="812"/>
      <c r="I11" s="812"/>
      <c r="J11" s="812"/>
    </row>
    <row r="12" spans="1:10">
      <c r="A12" s="224">
        <v>6</v>
      </c>
      <c r="B12" s="813" t="s">
        <v>96</v>
      </c>
      <c r="C12" s="813"/>
      <c r="D12" s="813"/>
      <c r="E12" s="813"/>
      <c r="F12" s="813"/>
      <c r="G12" s="813"/>
      <c r="H12" s="812">
        <f>'Earnings Sheet'!F18</f>
        <v>0</v>
      </c>
      <c r="I12" s="812"/>
      <c r="J12" s="812"/>
    </row>
    <row r="13" spans="1:10">
      <c r="A13" s="224">
        <v>7</v>
      </c>
      <c r="B13" s="813" t="s">
        <v>516</v>
      </c>
      <c r="C13" s="813"/>
      <c r="D13" s="813"/>
      <c r="E13" s="813"/>
      <c r="F13" s="813"/>
      <c r="G13" s="813"/>
      <c r="H13" s="812">
        <f>IF('Earnings Sheet'!E4="Spl Pay",'Earnings Sheet'!E18,0)</f>
        <v>0</v>
      </c>
      <c r="I13" s="812"/>
      <c r="J13" s="812"/>
    </row>
    <row r="14" spans="1:10">
      <c r="A14" s="224">
        <v>8</v>
      </c>
      <c r="B14" s="813" t="s">
        <v>1048</v>
      </c>
      <c r="C14" s="813"/>
      <c r="D14" s="813"/>
      <c r="E14" s="813"/>
      <c r="F14" s="813"/>
      <c r="G14" s="813"/>
      <c r="H14" s="812">
        <f>'Earnings Sheet'!M18</f>
        <v>0</v>
      </c>
      <c r="I14" s="812"/>
      <c r="J14" s="812"/>
    </row>
    <row r="15" spans="1:10">
      <c r="A15" s="224">
        <v>9</v>
      </c>
      <c r="B15" s="813" t="s">
        <v>97</v>
      </c>
      <c r="C15" s="813"/>
      <c r="D15" s="813"/>
      <c r="E15" s="813"/>
      <c r="F15" s="813"/>
      <c r="G15" s="813"/>
      <c r="H15" s="812">
        <f>'Earnings Sheet'!J18</f>
        <v>0</v>
      </c>
      <c r="I15" s="812"/>
      <c r="J15" s="812"/>
    </row>
    <row r="16" spans="1:10">
      <c r="A16" s="224">
        <v>10</v>
      </c>
      <c r="B16" s="813" t="s">
        <v>98</v>
      </c>
      <c r="C16" s="813"/>
      <c r="D16" s="813"/>
      <c r="E16" s="813"/>
      <c r="F16" s="813"/>
      <c r="G16" s="813"/>
      <c r="H16" s="812"/>
      <c r="I16" s="812"/>
      <c r="J16" s="812"/>
    </row>
    <row r="17" spans="1:10">
      <c r="A17" s="224">
        <v>11</v>
      </c>
      <c r="B17" s="813" t="s">
        <v>99</v>
      </c>
      <c r="C17" s="813"/>
      <c r="D17" s="813"/>
      <c r="E17" s="813"/>
      <c r="F17" s="813"/>
      <c r="G17" s="813"/>
      <c r="H17" s="812"/>
      <c r="I17" s="812"/>
      <c r="J17" s="812"/>
    </row>
    <row r="18" spans="1:10">
      <c r="A18" s="224">
        <v>12</v>
      </c>
      <c r="B18" s="813" t="s">
        <v>27</v>
      </c>
      <c r="C18" s="813"/>
      <c r="D18" s="813"/>
      <c r="E18" s="813"/>
      <c r="F18" s="813"/>
      <c r="G18" s="813"/>
      <c r="H18" s="812">
        <f>'Data Sheet'!F29</f>
        <v>0</v>
      </c>
      <c r="I18" s="812"/>
      <c r="J18" s="812"/>
    </row>
    <row r="19" spans="1:10">
      <c r="A19" s="224">
        <v>13</v>
      </c>
      <c r="B19" s="813" t="s">
        <v>28</v>
      </c>
      <c r="C19" s="813"/>
      <c r="D19" s="813"/>
      <c r="E19" s="813"/>
      <c r="F19" s="813"/>
      <c r="G19" s="813"/>
      <c r="H19" s="812">
        <f>'Data Sheet'!F48</f>
        <v>0</v>
      </c>
      <c r="I19" s="812"/>
      <c r="J19" s="812"/>
    </row>
    <row r="20" spans="1:10">
      <c r="A20" s="224">
        <v>14</v>
      </c>
      <c r="B20" s="813" t="s">
        <v>1144</v>
      </c>
      <c r="C20" s="813"/>
      <c r="D20" s="813"/>
      <c r="E20" s="813"/>
      <c r="F20" s="813"/>
      <c r="G20" s="813"/>
      <c r="H20" s="812">
        <f>'Earnings Sheet'!O18+'Earnings Sheet'!P18</f>
        <v>0</v>
      </c>
      <c r="I20" s="812"/>
      <c r="J20" s="812"/>
    </row>
    <row r="21" spans="1:10">
      <c r="A21" s="224">
        <v>15</v>
      </c>
      <c r="B21" s="813" t="s">
        <v>100</v>
      </c>
      <c r="C21" s="813"/>
      <c r="D21" s="813"/>
      <c r="E21" s="813"/>
      <c r="F21" s="813"/>
      <c r="G21" s="813"/>
      <c r="H21" s="812">
        <f>'Data Sheet'!F32</f>
        <v>0</v>
      </c>
      <c r="I21" s="812"/>
      <c r="J21" s="812"/>
    </row>
    <row r="22" spans="1:10">
      <c r="A22" s="224">
        <v>16</v>
      </c>
      <c r="B22" s="813" t="s">
        <v>915</v>
      </c>
      <c r="C22" s="813"/>
      <c r="D22" s="813"/>
      <c r="E22" s="813"/>
      <c r="F22" s="813"/>
      <c r="G22" s="813"/>
      <c r="H22" s="812">
        <f>'Data Sheet'!F33</f>
        <v>0</v>
      </c>
      <c r="I22" s="812"/>
      <c r="J22" s="812"/>
    </row>
    <row r="23" spans="1:10">
      <c r="A23" s="224">
        <v>17</v>
      </c>
      <c r="B23" s="813" t="s">
        <v>492</v>
      </c>
      <c r="C23" s="813"/>
      <c r="D23" s="813"/>
      <c r="E23" s="813"/>
      <c r="F23" s="813"/>
      <c r="G23" s="813"/>
      <c r="H23" s="864">
        <f>'Data Sheet'!F34</f>
        <v>0</v>
      </c>
      <c r="I23" s="864"/>
      <c r="J23" s="864"/>
    </row>
    <row r="24" spans="1:10">
      <c r="A24" s="224">
        <v>18</v>
      </c>
      <c r="B24" s="813" t="s">
        <v>101</v>
      </c>
      <c r="C24" s="813"/>
      <c r="D24" s="813"/>
      <c r="E24" s="813"/>
      <c r="F24" s="813"/>
      <c r="G24" s="813"/>
      <c r="H24" s="812">
        <f>'Data Sheet'!F36</f>
        <v>0</v>
      </c>
      <c r="I24" s="812"/>
      <c r="J24" s="812"/>
    </row>
    <row r="25" spans="1:10">
      <c r="A25" s="224">
        <v>19</v>
      </c>
      <c r="B25" s="863" t="s">
        <v>792</v>
      </c>
      <c r="C25" s="863"/>
      <c r="D25" s="863"/>
      <c r="E25" s="863"/>
      <c r="F25" s="863"/>
      <c r="G25" s="863"/>
      <c r="H25" s="812"/>
      <c r="I25" s="812"/>
      <c r="J25" s="812"/>
    </row>
    <row r="26" spans="1:10">
      <c r="A26" s="224">
        <v>20</v>
      </c>
      <c r="B26" s="813" t="s">
        <v>102</v>
      </c>
      <c r="C26" s="813"/>
      <c r="D26" s="813"/>
      <c r="E26" s="813"/>
      <c r="F26" s="813"/>
      <c r="G26" s="813"/>
      <c r="H26" s="812">
        <f>'Data for Relief US 89'!H15</f>
        <v>0</v>
      </c>
      <c r="I26" s="812"/>
      <c r="J26" s="812"/>
    </row>
    <row r="27" spans="1:10">
      <c r="A27" s="224">
        <v>21</v>
      </c>
      <c r="B27" s="813" t="s">
        <v>103</v>
      </c>
      <c r="C27" s="813"/>
      <c r="D27" s="813"/>
      <c r="E27" s="813"/>
      <c r="F27" s="813"/>
      <c r="G27" s="813"/>
      <c r="H27" s="812">
        <f>'Excess Interest on PF'!E26</f>
        <v>0</v>
      </c>
      <c r="I27" s="812"/>
      <c r="J27" s="812"/>
    </row>
    <row r="28" spans="1:10">
      <c r="A28" s="224">
        <v>22</v>
      </c>
      <c r="B28" s="813" t="s">
        <v>515</v>
      </c>
      <c r="C28" s="813"/>
      <c r="D28" s="813"/>
      <c r="E28" s="813"/>
      <c r="F28" s="813"/>
      <c r="G28" s="813"/>
      <c r="H28" s="864">
        <f>'Data Sheet'!F38</f>
        <v>0</v>
      </c>
      <c r="I28" s="864"/>
      <c r="J28" s="864"/>
    </row>
    <row r="29" spans="1:10">
      <c r="A29" s="224">
        <v>23</v>
      </c>
      <c r="B29" s="813" t="s">
        <v>104</v>
      </c>
      <c r="C29" s="813"/>
      <c r="D29" s="813"/>
      <c r="E29" s="813"/>
      <c r="F29" s="813"/>
      <c r="G29" s="813"/>
      <c r="H29" s="812">
        <f>'Earnings Sheet'!K18</f>
        <v>0</v>
      </c>
      <c r="I29" s="812"/>
      <c r="J29" s="812"/>
    </row>
    <row r="30" spans="1:10">
      <c r="A30" s="224">
        <v>24</v>
      </c>
      <c r="B30" s="813" t="s">
        <v>105</v>
      </c>
      <c r="C30" s="813"/>
      <c r="D30" s="813"/>
      <c r="E30" s="813"/>
      <c r="F30" s="813"/>
      <c r="G30" s="813"/>
      <c r="H30" s="812">
        <f>'Earnings Sheet'!L18</f>
        <v>0</v>
      </c>
      <c r="I30" s="812"/>
      <c r="J30" s="812"/>
    </row>
    <row r="31" spans="1:10">
      <c r="A31" s="224">
        <v>25</v>
      </c>
      <c r="B31" s="813" t="s">
        <v>242</v>
      </c>
      <c r="C31" s="813"/>
      <c r="D31" s="813"/>
      <c r="E31" s="813"/>
      <c r="F31" s="813"/>
      <c r="G31" s="813"/>
      <c r="H31" s="812">
        <f>'Data Sheet'!F49</f>
        <v>0</v>
      </c>
      <c r="I31" s="812"/>
      <c r="J31" s="812"/>
    </row>
    <row r="32" spans="1:10">
      <c r="A32" s="224">
        <v>26</v>
      </c>
      <c r="B32" s="813" t="s">
        <v>30</v>
      </c>
      <c r="C32" s="813"/>
      <c r="D32" s="813"/>
      <c r="E32" s="813"/>
      <c r="F32" s="813"/>
      <c r="G32" s="813"/>
      <c r="H32" s="812">
        <f>IF('Earnings Sheet'!E4="Off All",'Earnings Sheet'!E18,0)</f>
        <v>0</v>
      </c>
      <c r="I32" s="812"/>
      <c r="J32" s="812"/>
    </row>
    <row r="33" spans="1:10">
      <c r="A33" s="224">
        <v>27</v>
      </c>
      <c r="B33" s="813" t="str">
        <f>'Data Sheet'!B157:E157</f>
        <v>Tribal Area Allowance</v>
      </c>
      <c r="C33" s="813"/>
      <c r="D33" s="813"/>
      <c r="E33" s="813"/>
      <c r="F33" s="813"/>
      <c r="G33" s="813"/>
      <c r="H33" s="812">
        <f>'Data Sheet'!F157*'Data Sheet'!G157</f>
        <v>0</v>
      </c>
      <c r="I33" s="812"/>
      <c r="J33" s="812"/>
    </row>
    <row r="34" spans="1:10">
      <c r="A34" s="224">
        <v>28</v>
      </c>
      <c r="B34" s="813" t="str">
        <f>'Data Sheet'!B158:E158</f>
        <v>Composite Hill compensatory allowance</v>
      </c>
      <c r="C34" s="813"/>
      <c r="D34" s="813"/>
      <c r="E34" s="813"/>
      <c r="F34" s="813"/>
      <c r="G34" s="813"/>
      <c r="H34" s="812">
        <f>'Data Sheet'!F158*'Data Sheet'!G158</f>
        <v>0</v>
      </c>
      <c r="I34" s="812"/>
      <c r="J34" s="812"/>
    </row>
    <row r="35" spans="1:10">
      <c r="A35" s="224">
        <v>29</v>
      </c>
      <c r="B35" s="813" t="str">
        <f>'Data Sheet'!B159:E159</f>
        <v>Border Area, Remote area, disturbed area</v>
      </c>
      <c r="C35" s="813"/>
      <c r="D35" s="813"/>
      <c r="E35" s="813"/>
      <c r="F35" s="813"/>
      <c r="G35" s="813"/>
      <c r="H35" s="812">
        <f>'Data Sheet'!F159*'Data Sheet'!G159</f>
        <v>0</v>
      </c>
      <c r="I35" s="812"/>
      <c r="J35" s="812"/>
    </row>
    <row r="36" spans="1:10">
      <c r="A36" s="224">
        <v>30</v>
      </c>
      <c r="B36" s="813" t="str">
        <f>'Data Sheet'!B160:E160</f>
        <v>High Altitude Allowance</v>
      </c>
      <c r="C36" s="813"/>
      <c r="D36" s="813"/>
      <c r="E36" s="813"/>
      <c r="F36" s="813"/>
      <c r="G36" s="813"/>
      <c r="H36" s="812">
        <f>('Data Sheet'!F160*'Data Sheet'!G160)+'Data Sheet'!F161*'Data Sheet'!G161+'Data Sheet'!F162*'Data Sheet'!G162</f>
        <v>0</v>
      </c>
      <c r="I36" s="812"/>
      <c r="J36" s="812"/>
    </row>
    <row r="37" spans="1:10">
      <c r="A37" s="224">
        <v>31</v>
      </c>
      <c r="B37" s="813" t="s">
        <v>106</v>
      </c>
      <c r="C37" s="813"/>
      <c r="D37" s="813"/>
      <c r="E37" s="813"/>
      <c r="F37" s="813"/>
      <c r="G37" s="813"/>
      <c r="H37" s="812">
        <f>'Form 12BA'!H35</f>
        <v>0</v>
      </c>
      <c r="I37" s="812"/>
      <c r="J37" s="812"/>
    </row>
    <row r="38" spans="1:10">
      <c r="A38" s="224"/>
      <c r="B38" s="805" t="s">
        <v>107</v>
      </c>
      <c r="C38" s="805"/>
      <c r="D38" s="805"/>
      <c r="E38" s="805"/>
      <c r="F38" s="805"/>
      <c r="G38" s="805"/>
      <c r="H38" s="865">
        <f>SUM(H7:I37)</f>
        <v>0</v>
      </c>
      <c r="I38" s="865"/>
      <c r="J38" s="865"/>
    </row>
    <row r="39" spans="1:10">
      <c r="A39" s="225" t="s">
        <v>108</v>
      </c>
      <c r="B39" s="868" t="s">
        <v>321</v>
      </c>
      <c r="C39" s="868"/>
      <c r="D39" s="868"/>
      <c r="E39" s="868"/>
      <c r="F39" s="868"/>
      <c r="G39" s="868"/>
      <c r="H39" s="807"/>
      <c r="I39" s="807"/>
      <c r="J39" s="807"/>
    </row>
    <row r="40" spans="1:10">
      <c r="A40" s="224">
        <v>1</v>
      </c>
      <c r="B40" s="873" t="s">
        <v>109</v>
      </c>
      <c r="C40" s="873"/>
      <c r="D40" s="873"/>
      <c r="E40" s="873"/>
      <c r="F40" s="873"/>
      <c r="G40" s="873"/>
      <c r="H40" s="807"/>
      <c r="I40" s="807"/>
      <c r="J40" s="807"/>
    </row>
    <row r="41" spans="1:10">
      <c r="A41" s="224"/>
      <c r="B41" s="854" t="s">
        <v>110</v>
      </c>
      <c r="C41" s="854"/>
      <c r="D41" s="854"/>
      <c r="E41" s="871">
        <f>IF(AND('Data Sheet'!F39="Yes",'Data Sheet'!F40="Full Year"),'HRA Calculator'!N11,IF(AND('Data Sheet'!F39="Yes",'Data Sheet'!F40="Part of the Year"),'HRA Calculator'!N28,IF('Data Sheet'!F39="No",0)))</f>
        <v>0</v>
      </c>
      <c r="F41" s="871"/>
      <c r="G41" s="871"/>
      <c r="H41" s="807"/>
      <c r="I41" s="807"/>
      <c r="J41" s="807"/>
    </row>
    <row r="42" spans="1:10">
      <c r="A42" s="224"/>
      <c r="B42" s="853" t="s">
        <v>111</v>
      </c>
      <c r="C42" s="853"/>
      <c r="D42" s="853"/>
      <c r="E42" s="870">
        <f>IF(AND('Data Sheet'!F39="Yes",'Data Sheet'!F40="Full Year"),'HRA Calculator'!N12,IF(AND('Data Sheet'!F39="Yes",'Data Sheet'!F40="Part of the Year"),'HRA Calculator'!N29,IF('Data Sheet'!F39="No",0)))</f>
        <v>0</v>
      </c>
      <c r="F42" s="870"/>
      <c r="G42" s="870"/>
      <c r="H42" s="807"/>
      <c r="I42" s="807"/>
      <c r="J42" s="807"/>
    </row>
    <row r="43" spans="1:10">
      <c r="A43" s="224"/>
      <c r="B43" s="869" t="s">
        <v>836</v>
      </c>
      <c r="C43" s="869"/>
      <c r="D43" s="869"/>
      <c r="E43" s="872">
        <f>E41-E42</f>
        <v>0</v>
      </c>
      <c r="F43" s="872"/>
      <c r="G43" s="872"/>
      <c r="H43" s="807"/>
      <c r="I43" s="807"/>
      <c r="J43" s="807"/>
    </row>
    <row r="44" spans="1:10">
      <c r="A44" s="224"/>
      <c r="B44" s="854" t="s">
        <v>112</v>
      </c>
      <c r="C44" s="854"/>
      <c r="D44" s="854"/>
      <c r="E44" s="867">
        <f>IF(AND('Data Sheet'!F39="Yes",'Data Sheet'!F40="Full Year"),'HRA Calculator'!N15,IF(AND('Data Sheet'!F39="Yes",'Data Sheet'!F40="Part of the Year"),'HRA Calculator'!N32,IF('Data Sheet'!F39="No",0)))</f>
        <v>0</v>
      </c>
      <c r="F44" s="867"/>
      <c r="G44" s="867"/>
      <c r="H44" s="807"/>
      <c r="I44" s="807"/>
      <c r="J44" s="807"/>
    </row>
    <row r="45" spans="1:10">
      <c r="A45" s="224"/>
      <c r="B45" s="854" t="str">
        <f>IF('Data Sheet'!F16&lt;&gt;"Other Places","(c) 50% of Salary",IF('Data Sheet'!F16="Other Places","© 40% of Salary"))</f>
        <v>(c) 50% of Salary</v>
      </c>
      <c r="C45" s="854"/>
      <c r="D45" s="854"/>
      <c r="E45" s="866">
        <f>IF(AND('Data Sheet'!F39="Yes",'Data Sheet'!F40="Full Year"),'HRA Calculator'!N17,IF(AND('Data Sheet'!F39="Yes",'Data Sheet'!F40="Part of the Year"),'HRA Calculator'!N34,IF('Data Sheet'!F39="No",0)))</f>
        <v>0</v>
      </c>
      <c r="F45" s="867"/>
      <c r="G45" s="867"/>
      <c r="H45" s="807"/>
      <c r="I45" s="807"/>
      <c r="J45" s="807"/>
    </row>
    <row r="46" spans="1:10">
      <c r="A46" s="224"/>
      <c r="B46" s="805" t="s">
        <v>113</v>
      </c>
      <c r="C46" s="805"/>
      <c r="D46" s="805"/>
      <c r="E46" s="805"/>
      <c r="F46" s="805"/>
      <c r="G46" s="805"/>
      <c r="H46" s="874">
        <f>IF(MIN(E43,E44,E45)&lt;0,0,MIN(E43,E44,E45))</f>
        <v>0</v>
      </c>
      <c r="I46" s="807"/>
      <c r="J46" s="807"/>
    </row>
    <row r="47" spans="1:10">
      <c r="A47" s="224">
        <v>3</v>
      </c>
      <c r="B47" s="813" t="s">
        <v>784</v>
      </c>
      <c r="C47" s="813"/>
      <c r="D47" s="813"/>
      <c r="E47" s="813"/>
      <c r="F47" s="813"/>
      <c r="G47" s="813"/>
      <c r="H47" s="874">
        <f>'Data Sheet'!H157*'Data Sheet'!G157</f>
        <v>0</v>
      </c>
      <c r="I47" s="874"/>
      <c r="J47" s="874"/>
    </row>
    <row r="48" spans="1:10">
      <c r="A48" s="224"/>
      <c r="B48" s="820" t="s">
        <v>244</v>
      </c>
      <c r="C48" s="820"/>
      <c r="D48" s="820"/>
      <c r="E48" s="820"/>
      <c r="F48" s="820"/>
      <c r="G48" s="820"/>
      <c r="H48" s="814">
        <f>H46+H47</f>
        <v>0</v>
      </c>
      <c r="I48" s="805"/>
      <c r="J48" s="805"/>
    </row>
    <row r="49" spans="1:10">
      <c r="A49" s="224"/>
      <c r="B49" s="868" t="s">
        <v>114</v>
      </c>
      <c r="C49" s="868"/>
      <c r="D49" s="868"/>
      <c r="E49" s="868"/>
      <c r="F49" s="868"/>
      <c r="G49" s="868"/>
      <c r="H49" s="814">
        <f>H38-H48</f>
        <v>0</v>
      </c>
      <c r="I49" s="805"/>
      <c r="J49" s="805"/>
    </row>
    <row r="50" spans="1:10">
      <c r="A50" s="877" t="s">
        <v>252</v>
      </c>
      <c r="B50" s="820" t="s">
        <v>241</v>
      </c>
      <c r="C50" s="820"/>
      <c r="D50" s="820"/>
      <c r="E50" s="820"/>
      <c r="F50" s="820"/>
      <c r="G50" s="820"/>
      <c r="H50" s="807"/>
      <c r="I50" s="807"/>
      <c r="J50" s="807"/>
    </row>
    <row r="51" spans="1:10">
      <c r="A51" s="878"/>
      <c r="B51" s="224">
        <v>1</v>
      </c>
      <c r="C51" s="813" t="s">
        <v>245</v>
      </c>
      <c r="D51" s="813"/>
      <c r="E51" s="813"/>
      <c r="F51" s="812">
        <f>'Earnings Sheet'!W18</f>
        <v>0</v>
      </c>
      <c r="G51" s="812"/>
      <c r="H51" s="807"/>
      <c r="I51" s="807"/>
      <c r="J51" s="807"/>
    </row>
    <row r="52" spans="1:10">
      <c r="A52" s="879"/>
      <c r="B52" s="224">
        <v>2</v>
      </c>
      <c r="C52" s="813" t="s">
        <v>242</v>
      </c>
      <c r="D52" s="813"/>
      <c r="E52" s="813"/>
      <c r="F52" s="812">
        <f>IF('Data Sheet'!F49="",0,IF('Data Sheet'!F49&gt;=0,MIN('Data Sheet'!F49,5000,'Earnings Sheet'!D18*20%)))</f>
        <v>0</v>
      </c>
      <c r="G52" s="812"/>
      <c r="H52" s="807"/>
      <c r="I52" s="807"/>
      <c r="J52" s="807"/>
    </row>
    <row r="53" spans="1:10">
      <c r="A53" s="322" t="s">
        <v>115</v>
      </c>
      <c r="B53" s="820" t="s">
        <v>246</v>
      </c>
      <c r="C53" s="820"/>
      <c r="D53" s="820"/>
      <c r="E53" s="820"/>
      <c r="F53" s="820"/>
      <c r="G53" s="820"/>
      <c r="H53" s="808">
        <f>F51+F52</f>
        <v>0</v>
      </c>
      <c r="I53" s="808"/>
      <c r="J53" s="808"/>
    </row>
    <row r="54" spans="1:10">
      <c r="A54" s="321" t="s">
        <v>357</v>
      </c>
      <c r="B54" s="855" t="s">
        <v>869</v>
      </c>
      <c r="C54" s="855"/>
      <c r="D54" s="855"/>
      <c r="E54" s="855"/>
      <c r="F54" s="855"/>
      <c r="G54" s="855"/>
      <c r="H54" s="809">
        <f>H57+H58+H59</f>
        <v>0</v>
      </c>
      <c r="I54" s="809"/>
      <c r="J54" s="809"/>
    </row>
    <row r="55" spans="1:10">
      <c r="A55" s="226"/>
      <c r="B55" s="815" t="str">
        <f>'Data Sheet'!B148</f>
        <v>Income from House Property</v>
      </c>
      <c r="C55" s="815"/>
      <c r="D55" s="815"/>
      <c r="E55" s="815"/>
      <c r="F55" s="815"/>
      <c r="G55" s="815"/>
      <c r="H55" s="800">
        <f>'Data Sheet'!F148</f>
        <v>0</v>
      </c>
      <c r="I55" s="800"/>
      <c r="J55" s="800"/>
    </row>
    <row r="56" spans="1:10">
      <c r="A56" s="226"/>
      <c r="B56" s="815" t="s">
        <v>508</v>
      </c>
      <c r="C56" s="815"/>
      <c r="D56" s="815"/>
      <c r="E56" s="815"/>
      <c r="F56" s="815"/>
      <c r="G56" s="815"/>
      <c r="H56" s="800">
        <f>'Data Sheet'!F94</f>
        <v>0</v>
      </c>
      <c r="I56" s="800"/>
      <c r="J56" s="800"/>
    </row>
    <row r="57" spans="1:10">
      <c r="A57" s="226" t="s">
        <v>308</v>
      </c>
      <c r="B57" s="811" t="s">
        <v>795</v>
      </c>
      <c r="C57" s="811"/>
      <c r="D57" s="811"/>
      <c r="E57" s="811"/>
      <c r="F57" s="811"/>
      <c r="G57" s="811"/>
      <c r="H57" s="819">
        <f>H55-H56</f>
        <v>0</v>
      </c>
      <c r="I57" s="819"/>
      <c r="J57" s="819"/>
    </row>
    <row r="58" spans="1:10">
      <c r="A58" s="226" t="s">
        <v>286</v>
      </c>
      <c r="B58" s="815" t="s">
        <v>285</v>
      </c>
      <c r="C58" s="815"/>
      <c r="D58" s="815"/>
      <c r="E58" s="815"/>
      <c r="F58" s="815"/>
      <c r="G58" s="815"/>
      <c r="H58" s="800">
        <f>'Data Sheet'!F77+'Data Sheet'!F78</f>
        <v>0</v>
      </c>
      <c r="I58" s="800"/>
      <c r="J58" s="800"/>
    </row>
    <row r="59" spans="1:10" ht="18" customHeight="1">
      <c r="A59" s="232" t="s">
        <v>309</v>
      </c>
      <c r="B59" s="815" t="s">
        <v>794</v>
      </c>
      <c r="C59" s="815"/>
      <c r="D59" s="815"/>
      <c r="E59" s="815"/>
      <c r="F59" s="815"/>
      <c r="G59" s="815"/>
      <c r="H59" s="800">
        <f>'Data Sheet'!F149+'Data Sheet'!F150</f>
        <v>0</v>
      </c>
      <c r="I59" s="800"/>
      <c r="J59" s="800"/>
    </row>
    <row r="60" spans="1:10">
      <c r="A60" s="224"/>
      <c r="B60" s="816" t="s">
        <v>247</v>
      </c>
      <c r="C60" s="817"/>
      <c r="D60" s="817"/>
      <c r="E60" s="817"/>
      <c r="F60" s="817"/>
      <c r="G60" s="818"/>
      <c r="H60" s="808">
        <f>ROUND((H49-H53+H54),0)</f>
        <v>0</v>
      </c>
      <c r="I60" s="808"/>
      <c r="J60" s="808"/>
    </row>
    <row r="61" spans="1:10">
      <c r="A61" s="224"/>
      <c r="B61" s="816" t="s">
        <v>1075</v>
      </c>
      <c r="C61" s="817"/>
      <c r="D61" s="817"/>
      <c r="E61" s="817"/>
      <c r="F61" s="817"/>
      <c r="G61" s="818"/>
      <c r="H61" s="880">
        <f>IF('Data Sheet'!I4="Yes",0,IF(OR(H49="",H49=0),0,IF(AND(H49&gt;0,H49&lt;50000),H53,IF(AND(H49&gt;0,H49&gt;50000),50000))))</f>
        <v>0</v>
      </c>
      <c r="I61" s="881"/>
      <c r="J61" s="882"/>
    </row>
    <row r="62" spans="1:10">
      <c r="A62" s="321" t="s">
        <v>1073</v>
      </c>
      <c r="B62" s="820" t="s">
        <v>248</v>
      </c>
      <c r="C62" s="820"/>
      <c r="D62" s="820"/>
      <c r="E62" s="820"/>
      <c r="F62" s="820"/>
      <c r="G62" s="820"/>
      <c r="H62" s="820"/>
      <c r="I62" s="820"/>
      <c r="J62" s="820"/>
    </row>
    <row r="63" spans="1:10">
      <c r="A63" s="224"/>
      <c r="B63" s="855" t="s">
        <v>293</v>
      </c>
      <c r="C63" s="855"/>
      <c r="D63" s="855"/>
      <c r="E63" s="855"/>
      <c r="F63" s="855"/>
      <c r="G63" s="855"/>
      <c r="H63" s="856">
        <f>F91</f>
        <v>0</v>
      </c>
      <c r="I63" s="856"/>
      <c r="J63" s="856"/>
    </row>
    <row r="64" spans="1:10">
      <c r="A64" s="321" t="s">
        <v>1074</v>
      </c>
      <c r="B64" s="855"/>
      <c r="C64" s="855"/>
      <c r="D64" s="855"/>
      <c r="E64" s="855"/>
      <c r="F64" s="855"/>
      <c r="G64" s="855"/>
      <c r="H64" s="856"/>
      <c r="I64" s="856"/>
      <c r="J64" s="856"/>
    </row>
    <row r="65" spans="1:10">
      <c r="A65" s="224"/>
      <c r="B65" s="876" t="s">
        <v>294</v>
      </c>
      <c r="C65" s="876"/>
      <c r="D65" s="876"/>
      <c r="E65" s="222" t="s">
        <v>19</v>
      </c>
      <c r="F65" s="805" t="s">
        <v>200</v>
      </c>
      <c r="G65" s="805"/>
      <c r="H65" s="856"/>
      <c r="I65" s="856"/>
      <c r="J65" s="856"/>
    </row>
    <row r="66" spans="1:10">
      <c r="A66" s="224"/>
      <c r="B66" s="225" t="s">
        <v>70</v>
      </c>
      <c r="C66" s="850" t="s">
        <v>255</v>
      </c>
      <c r="D66" s="850"/>
      <c r="E66" s="227">
        <f>'Data Sheet'!H122</f>
        <v>0</v>
      </c>
      <c r="F66" s="810">
        <f>IF('Data Sheet'!F13&gt;2,0,E66)</f>
        <v>0</v>
      </c>
      <c r="G66" s="810"/>
      <c r="H66" s="856"/>
      <c r="I66" s="856"/>
      <c r="J66" s="856"/>
    </row>
    <row r="67" spans="1:10">
      <c r="A67" s="224"/>
      <c r="B67" s="225" t="s">
        <v>72</v>
      </c>
      <c r="C67" s="850" t="s">
        <v>278</v>
      </c>
      <c r="D67" s="850"/>
      <c r="E67" s="227">
        <f>'Data Sheet'!H123+'Earnings Sheet'!Z18</f>
        <v>0</v>
      </c>
      <c r="F67" s="810">
        <f>IF('Data Sheet'!H123&gt;='Data Sheet'!G123*20%,'Data Sheet'!G123*20%+'Data Sheet'!H124,IF('Data Sheet'!H123&lt;'Data Sheet'!G123*20%,'Data Sheet'!H123+'Data Sheet'!H124,IF('Data Sheet'!G123="","")))</f>
        <v>0</v>
      </c>
      <c r="G67" s="810"/>
      <c r="H67" s="856"/>
      <c r="I67" s="856"/>
      <c r="J67" s="856"/>
    </row>
    <row r="68" spans="1:10">
      <c r="A68" s="224"/>
      <c r="B68" s="225" t="s">
        <v>74</v>
      </c>
      <c r="C68" s="850" t="s">
        <v>270</v>
      </c>
      <c r="D68" s="850"/>
      <c r="E68" s="227">
        <f>'Data Sheet'!H125</f>
        <v>0</v>
      </c>
      <c r="F68" s="800">
        <f>IF((E68+E69)&gt;('Earnings Sheet'!D18)*100%,MIN((E68+E69),('Earnings Sheet'!D18)*100%),IF((E68+E69)&lt;('Earnings Sheet'!D18)*100%,(E68+E69),IF((E68+E69)="",0,IF((E68+E69)=0,0))))</f>
        <v>0</v>
      </c>
      <c r="G68" s="800"/>
      <c r="H68" s="856"/>
      <c r="I68" s="856"/>
      <c r="J68" s="856"/>
    </row>
    <row r="69" spans="1:10">
      <c r="A69" s="224"/>
      <c r="B69" s="225" t="s">
        <v>76</v>
      </c>
      <c r="C69" s="875" t="s">
        <v>289</v>
      </c>
      <c r="D69" s="850"/>
      <c r="E69" s="227">
        <f>IF('Earnings Sheet'!R4="C.P.F",'Earnings Sheet'!R18+'Earnings Sheet'!S18,IF('Earnings Sheet'!R4="NPF Contribution",0))</f>
        <v>0</v>
      </c>
      <c r="F69" s="800"/>
      <c r="G69" s="800"/>
      <c r="H69" s="856"/>
      <c r="I69" s="856"/>
      <c r="J69" s="856"/>
    </row>
    <row r="70" spans="1:10">
      <c r="A70" s="224"/>
      <c r="B70" s="225" t="s">
        <v>256</v>
      </c>
      <c r="C70" s="850" t="s">
        <v>117</v>
      </c>
      <c r="D70" s="850"/>
      <c r="E70" s="227">
        <f>'Data Sheet'!H127</f>
        <v>0</v>
      </c>
      <c r="F70" s="810">
        <f t="shared" ref="F70:F82" si="0">E70</f>
        <v>0</v>
      </c>
      <c r="G70" s="810"/>
      <c r="H70" s="856"/>
      <c r="I70" s="856"/>
      <c r="J70" s="856"/>
    </row>
    <row r="71" spans="1:10">
      <c r="A71" s="224"/>
      <c r="B71" s="225" t="s">
        <v>257</v>
      </c>
      <c r="C71" s="850" t="s">
        <v>271</v>
      </c>
      <c r="D71" s="850"/>
      <c r="E71" s="227">
        <f>'Data Sheet'!H128</f>
        <v>0</v>
      </c>
      <c r="F71" s="810">
        <f t="shared" si="0"/>
        <v>0</v>
      </c>
      <c r="G71" s="810"/>
      <c r="H71" s="856"/>
      <c r="I71" s="856"/>
      <c r="J71" s="856"/>
    </row>
    <row r="72" spans="1:10" ht="30.75" customHeight="1">
      <c r="A72" s="224"/>
      <c r="B72" s="225" t="s">
        <v>258</v>
      </c>
      <c r="C72" s="850" t="str">
        <f>'Data Sheet'!A129</f>
        <v>5 Year Time Deposit under Post office Time Deposit Rules, 1981.</v>
      </c>
      <c r="D72" s="850"/>
      <c r="E72" s="227">
        <f>'Data Sheet'!H129</f>
        <v>0</v>
      </c>
      <c r="F72" s="810">
        <f t="shared" si="0"/>
        <v>0</v>
      </c>
      <c r="G72" s="810"/>
      <c r="H72" s="856"/>
      <c r="I72" s="856"/>
      <c r="J72" s="856"/>
    </row>
    <row r="73" spans="1:10">
      <c r="A73" s="224"/>
      <c r="B73" s="225" t="s">
        <v>259</v>
      </c>
      <c r="C73" s="850" t="s">
        <v>302</v>
      </c>
      <c r="D73" s="850"/>
      <c r="E73" s="227">
        <f>'Data Sheet'!H130</f>
        <v>0</v>
      </c>
      <c r="F73" s="810">
        <f t="shared" si="0"/>
        <v>0</v>
      </c>
      <c r="G73" s="810"/>
      <c r="H73" s="856"/>
      <c r="I73" s="856"/>
      <c r="J73" s="856"/>
    </row>
    <row r="74" spans="1:10">
      <c r="A74" s="224"/>
      <c r="B74" s="225" t="s">
        <v>785</v>
      </c>
      <c r="C74" s="850" t="s">
        <v>919</v>
      </c>
      <c r="D74" s="850"/>
      <c r="E74" s="227">
        <f>'Data Sheet'!F77</f>
        <v>0</v>
      </c>
      <c r="F74" s="810">
        <f t="shared" si="0"/>
        <v>0</v>
      </c>
      <c r="G74" s="810"/>
      <c r="H74" s="856"/>
      <c r="I74" s="856"/>
      <c r="J74" s="856"/>
    </row>
    <row r="75" spans="1:10">
      <c r="A75" s="224"/>
      <c r="B75" s="225" t="s">
        <v>260</v>
      </c>
      <c r="C75" s="850" t="s">
        <v>920</v>
      </c>
      <c r="D75" s="850"/>
      <c r="E75" s="227">
        <f>'Data Sheet'!H132</f>
        <v>0</v>
      </c>
      <c r="F75" s="810">
        <f t="shared" si="0"/>
        <v>0</v>
      </c>
      <c r="G75" s="810"/>
      <c r="H75" s="856"/>
      <c r="I75" s="856"/>
      <c r="J75" s="856"/>
    </row>
    <row r="76" spans="1:10">
      <c r="A76" s="224"/>
      <c r="B76" s="225" t="s">
        <v>261</v>
      </c>
      <c r="C76" s="850" t="s">
        <v>347</v>
      </c>
      <c r="D76" s="850"/>
      <c r="E76" s="227">
        <f>'Data Sheet'!H133</f>
        <v>0</v>
      </c>
      <c r="F76" s="810">
        <f t="shared" si="0"/>
        <v>0</v>
      </c>
      <c r="G76" s="810"/>
      <c r="H76" s="856"/>
      <c r="I76" s="856"/>
      <c r="J76" s="856"/>
    </row>
    <row r="77" spans="1:10">
      <c r="A77" s="224"/>
      <c r="B77" s="225" t="s">
        <v>262</v>
      </c>
      <c r="C77" s="850" t="s">
        <v>346</v>
      </c>
      <c r="D77" s="850"/>
      <c r="E77" s="227">
        <f>'Data Sheet'!H134</f>
        <v>0</v>
      </c>
      <c r="F77" s="810">
        <f t="shared" si="0"/>
        <v>0</v>
      </c>
      <c r="G77" s="810"/>
      <c r="H77" s="856"/>
      <c r="I77" s="856"/>
      <c r="J77" s="856"/>
    </row>
    <row r="78" spans="1:10" ht="18.75" customHeight="1">
      <c r="A78" s="224"/>
      <c r="B78" s="225" t="s">
        <v>263</v>
      </c>
      <c r="C78" s="821" t="str">
        <f>'Data Sheet'!A144</f>
        <v>Annuity Plan of TATA AAIG Life Insurance company</v>
      </c>
      <c r="D78" s="821"/>
      <c r="E78" s="227">
        <f>'Data Sheet'!H144</f>
        <v>0</v>
      </c>
      <c r="F78" s="810">
        <f t="shared" si="0"/>
        <v>0</v>
      </c>
      <c r="G78" s="810"/>
      <c r="H78" s="856"/>
      <c r="I78" s="856"/>
      <c r="J78" s="856"/>
    </row>
    <row r="79" spans="1:10">
      <c r="A79" s="224"/>
      <c r="B79" s="225" t="s">
        <v>264</v>
      </c>
      <c r="C79" s="850" t="s">
        <v>118</v>
      </c>
      <c r="D79" s="850"/>
      <c r="E79" s="227">
        <f>'Data Sheet'!H135</f>
        <v>0</v>
      </c>
      <c r="F79" s="810">
        <f t="shared" si="0"/>
        <v>0</v>
      </c>
      <c r="G79" s="810"/>
      <c r="H79" s="856"/>
      <c r="I79" s="856"/>
      <c r="J79" s="856"/>
    </row>
    <row r="80" spans="1:10">
      <c r="A80" s="224"/>
      <c r="B80" s="225" t="s">
        <v>265</v>
      </c>
      <c r="C80" s="850" t="s">
        <v>273</v>
      </c>
      <c r="D80" s="850"/>
      <c r="E80" s="227">
        <f>'Data Sheet'!H136</f>
        <v>0</v>
      </c>
      <c r="F80" s="810">
        <f t="shared" si="0"/>
        <v>0</v>
      </c>
      <c r="G80" s="810"/>
      <c r="H80" s="856"/>
      <c r="I80" s="856"/>
      <c r="J80" s="856"/>
    </row>
    <row r="81" spans="1:10">
      <c r="A81" s="224"/>
      <c r="B81" s="225" t="s">
        <v>266</v>
      </c>
      <c r="C81" s="850" t="s">
        <v>274</v>
      </c>
      <c r="D81" s="850"/>
      <c r="E81" s="227">
        <f>'Data Sheet'!H137</f>
        <v>0</v>
      </c>
      <c r="F81" s="810">
        <f t="shared" si="0"/>
        <v>0</v>
      </c>
      <c r="G81" s="810"/>
      <c r="H81" s="856"/>
      <c r="I81" s="856"/>
      <c r="J81" s="856"/>
    </row>
    <row r="82" spans="1:10">
      <c r="A82" s="224"/>
      <c r="B82" s="225" t="s">
        <v>267</v>
      </c>
      <c r="C82" s="850" t="s">
        <v>275</v>
      </c>
      <c r="D82" s="850"/>
      <c r="E82" s="227">
        <f>'Earnings Sheet'!X18</f>
        <v>0</v>
      </c>
      <c r="F82" s="810">
        <f t="shared" si="0"/>
        <v>0</v>
      </c>
      <c r="G82" s="810"/>
      <c r="H82" s="856"/>
      <c r="I82" s="856"/>
      <c r="J82" s="856"/>
    </row>
    <row r="83" spans="1:10">
      <c r="A83" s="224"/>
      <c r="B83" s="225" t="s">
        <v>268</v>
      </c>
      <c r="C83" s="850" t="s">
        <v>276</v>
      </c>
      <c r="D83" s="850"/>
      <c r="E83" s="227">
        <f>'Data Sheet'!H139</f>
        <v>0</v>
      </c>
      <c r="F83" s="806">
        <f>E83</f>
        <v>0</v>
      </c>
      <c r="G83" s="806"/>
      <c r="H83" s="856"/>
      <c r="I83" s="856"/>
      <c r="J83" s="856"/>
    </row>
    <row r="84" spans="1:10">
      <c r="A84" s="224"/>
      <c r="B84" s="823" t="s">
        <v>269</v>
      </c>
      <c r="C84" s="821" t="s">
        <v>277</v>
      </c>
      <c r="D84" s="821"/>
      <c r="E84" s="806">
        <f>'Data Sheet'!H140</f>
        <v>0</v>
      </c>
      <c r="F84" s="806">
        <f>E84</f>
        <v>0</v>
      </c>
      <c r="G84" s="806"/>
      <c r="H84" s="856"/>
      <c r="I84" s="856"/>
      <c r="J84" s="856"/>
    </row>
    <row r="85" spans="1:10" ht="15" customHeight="1">
      <c r="A85" s="224"/>
      <c r="B85" s="823"/>
      <c r="C85" s="821"/>
      <c r="D85" s="821"/>
      <c r="E85" s="806"/>
      <c r="F85" s="806"/>
      <c r="G85" s="806"/>
      <c r="H85" s="856"/>
      <c r="I85" s="856"/>
      <c r="J85" s="856"/>
    </row>
    <row r="86" spans="1:10" ht="30" customHeight="1">
      <c r="A86" s="224"/>
      <c r="B86" s="228" t="s">
        <v>303</v>
      </c>
      <c r="C86" s="821" t="s">
        <v>304</v>
      </c>
      <c r="D86" s="821"/>
      <c r="E86" s="229">
        <f>'Data Sheet'!H141</f>
        <v>0</v>
      </c>
      <c r="F86" s="806">
        <f>IF(E86&gt;=150000,150000,IF(E86&lt;150000,E86))</f>
        <v>0</v>
      </c>
      <c r="G86" s="806"/>
      <c r="H86" s="856"/>
      <c r="I86" s="856"/>
      <c r="J86" s="856"/>
    </row>
    <row r="87" spans="1:10" ht="21.75" customHeight="1">
      <c r="A87" s="224"/>
      <c r="B87" s="228" t="s">
        <v>484</v>
      </c>
      <c r="C87" s="821" t="s">
        <v>486</v>
      </c>
      <c r="D87" s="821"/>
      <c r="E87" s="229">
        <f>'Data Sheet'!H142</f>
        <v>0</v>
      </c>
      <c r="F87" s="806">
        <f>IF(E87&gt;=100000,100000,IF(E87&lt;100000,E87))</f>
        <v>0</v>
      </c>
      <c r="G87" s="806"/>
      <c r="H87" s="856"/>
      <c r="I87" s="856"/>
      <c r="J87" s="856"/>
    </row>
    <row r="88" spans="1:10" ht="24.75" customHeight="1">
      <c r="A88" s="224"/>
      <c r="B88" s="228" t="s">
        <v>485</v>
      </c>
      <c r="C88" s="821" t="s">
        <v>802</v>
      </c>
      <c r="D88" s="821"/>
      <c r="E88" s="229">
        <f>'Data Sheet'!H143</f>
        <v>0</v>
      </c>
      <c r="F88" s="806">
        <f>E88</f>
        <v>0</v>
      </c>
      <c r="G88" s="806"/>
      <c r="H88" s="856"/>
      <c r="I88" s="856"/>
      <c r="J88" s="856"/>
    </row>
    <row r="89" spans="1:10" ht="24.75" customHeight="1">
      <c r="A89" s="224"/>
      <c r="B89" s="279" t="s">
        <v>805</v>
      </c>
      <c r="C89" s="821" t="str">
        <f>'Data Sheet'!A145</f>
        <v>Subscription to Sukanya Samriddhi Scheme in Girl Child name</v>
      </c>
      <c r="D89" s="821"/>
      <c r="E89" s="278">
        <f>'Data Sheet'!H145</f>
        <v>0</v>
      </c>
      <c r="F89" s="806">
        <f>E89</f>
        <v>0</v>
      </c>
      <c r="G89" s="806"/>
      <c r="H89" s="856"/>
      <c r="I89" s="856"/>
      <c r="J89" s="856"/>
    </row>
    <row r="90" spans="1:10" ht="24.75" customHeight="1">
      <c r="A90" s="224"/>
      <c r="B90" s="228" t="s">
        <v>805</v>
      </c>
      <c r="C90" s="821" t="s">
        <v>868</v>
      </c>
      <c r="D90" s="821"/>
      <c r="E90" s="229">
        <f>'Data Sheet'!H147</f>
        <v>0</v>
      </c>
      <c r="F90" s="806">
        <f>E90</f>
        <v>0</v>
      </c>
      <c r="G90" s="806"/>
      <c r="H90" s="856"/>
      <c r="I90" s="856"/>
      <c r="J90" s="856"/>
    </row>
    <row r="91" spans="1:10" ht="15.75">
      <c r="A91" s="224"/>
      <c r="B91" s="224"/>
      <c r="C91" s="805" t="s">
        <v>801</v>
      </c>
      <c r="D91" s="805"/>
      <c r="E91" s="230">
        <f>SUM(E66:E90)</f>
        <v>0</v>
      </c>
      <c r="F91" s="814">
        <f>IF(SUM(F66:F90)&gt;=150000,150000,IF(SUM(F66:F90)&lt;150000,(SUM(F66:F90))))</f>
        <v>0</v>
      </c>
      <c r="G91" s="814"/>
      <c r="H91" s="856"/>
      <c r="I91" s="856"/>
      <c r="J91" s="856"/>
    </row>
    <row r="92" spans="1:10">
      <c r="A92" s="224"/>
      <c r="B92" s="805" t="s">
        <v>251</v>
      </c>
      <c r="C92" s="805"/>
      <c r="D92" s="805" t="s">
        <v>250</v>
      </c>
      <c r="E92" s="805"/>
      <c r="F92" s="805" t="s">
        <v>249</v>
      </c>
      <c r="G92" s="805"/>
      <c r="H92" s="851" t="s">
        <v>139</v>
      </c>
      <c r="I92" s="851"/>
      <c r="J92" s="851"/>
    </row>
    <row r="93" spans="1:10">
      <c r="A93" s="224"/>
      <c r="B93" s="820" t="s">
        <v>295</v>
      </c>
      <c r="C93" s="820"/>
      <c r="D93" s="809">
        <f>D94+D95+D96</f>
        <v>0</v>
      </c>
      <c r="E93" s="809"/>
      <c r="F93" s="809">
        <f>F94+F95+F96</f>
        <v>0</v>
      </c>
      <c r="G93" s="809"/>
      <c r="H93" s="809">
        <f>IF(F93&gt;=150000,150000,IF(F93&lt;150000,F93))</f>
        <v>0</v>
      </c>
      <c r="I93" s="809"/>
      <c r="J93" s="809"/>
    </row>
    <row r="94" spans="1:10">
      <c r="A94" s="224"/>
      <c r="B94" s="849" t="s">
        <v>296</v>
      </c>
      <c r="C94" s="849"/>
      <c r="D94" s="800">
        <f>E91</f>
        <v>0</v>
      </c>
      <c r="E94" s="800"/>
      <c r="F94" s="800">
        <f>F91</f>
        <v>0</v>
      </c>
      <c r="G94" s="800"/>
      <c r="H94" s="809"/>
      <c r="I94" s="809"/>
      <c r="J94" s="809"/>
    </row>
    <row r="95" spans="1:10">
      <c r="A95" s="224"/>
      <c r="B95" s="822" t="s">
        <v>194</v>
      </c>
      <c r="C95" s="822"/>
      <c r="D95" s="800">
        <f>'Data Sheet'!F99</f>
        <v>0</v>
      </c>
      <c r="E95" s="800"/>
      <c r="F95" s="800">
        <f>'Data Sheet'!H99</f>
        <v>0</v>
      </c>
      <c r="G95" s="800"/>
      <c r="H95" s="809"/>
      <c r="I95" s="809"/>
      <c r="J95" s="809"/>
    </row>
    <row r="96" spans="1:10">
      <c r="A96" s="224"/>
      <c r="B96" s="822" t="s">
        <v>971</v>
      </c>
      <c r="C96" s="822"/>
      <c r="D96" s="800">
        <f>'Data Sheet'!F100+'Data Sheet'!H126</f>
        <v>0</v>
      </c>
      <c r="E96" s="800"/>
      <c r="F96" s="800">
        <f>'Data Sheet'!H100</f>
        <v>0</v>
      </c>
      <c r="G96" s="800"/>
      <c r="H96" s="809"/>
      <c r="I96" s="809"/>
      <c r="J96" s="809"/>
    </row>
    <row r="97" spans="1:10">
      <c r="A97" s="224"/>
      <c r="B97" s="824" t="s">
        <v>970</v>
      </c>
      <c r="C97" s="824"/>
      <c r="D97" s="800">
        <f>'Data Sheet'!H101</f>
        <v>0</v>
      </c>
      <c r="E97" s="800"/>
      <c r="F97" s="883">
        <f>'Data Sheet'!H101</f>
        <v>0</v>
      </c>
      <c r="G97" s="884"/>
      <c r="H97" s="801">
        <f t="shared" ref="H97:H107" si="1">F97</f>
        <v>0</v>
      </c>
      <c r="I97" s="801"/>
      <c r="J97" s="801"/>
    </row>
    <row r="98" spans="1:10">
      <c r="A98" s="224"/>
      <c r="B98" s="824" t="s">
        <v>498</v>
      </c>
      <c r="C98" s="824"/>
      <c r="D98" s="800">
        <f>'Data Sheet'!F102</f>
        <v>0</v>
      </c>
      <c r="E98" s="800"/>
      <c r="F98" s="800">
        <f>'Data Sheet'!H102</f>
        <v>0</v>
      </c>
      <c r="G98" s="800"/>
      <c r="H98" s="801">
        <f t="shared" si="1"/>
        <v>0</v>
      </c>
      <c r="I98" s="801"/>
      <c r="J98" s="801"/>
    </row>
    <row r="99" spans="1:10">
      <c r="A99" s="224"/>
      <c r="B99" s="824" t="s">
        <v>911</v>
      </c>
      <c r="C99" s="824"/>
      <c r="D99" s="800">
        <f>'Data Sheet'!F103</f>
        <v>0</v>
      </c>
      <c r="E99" s="800"/>
      <c r="F99" s="800">
        <f>'Data Sheet'!H103</f>
        <v>0</v>
      </c>
      <c r="G99" s="800"/>
      <c r="H99" s="801">
        <f t="shared" si="1"/>
        <v>0</v>
      </c>
      <c r="I99" s="801"/>
      <c r="J99" s="801"/>
    </row>
    <row r="100" spans="1:10">
      <c r="A100" s="224"/>
      <c r="B100" s="825" t="s">
        <v>195</v>
      </c>
      <c r="C100" s="825"/>
      <c r="D100" s="800">
        <f>'Data Sheet'!F104+'Data Sheet'!H105</f>
        <v>0</v>
      </c>
      <c r="E100" s="800"/>
      <c r="F100" s="800">
        <f>'Data Sheet'!H104+'Data Sheet'!H105</f>
        <v>0</v>
      </c>
      <c r="G100" s="800"/>
      <c r="H100" s="801">
        <f t="shared" si="1"/>
        <v>0</v>
      </c>
      <c r="I100" s="801"/>
      <c r="J100" s="801"/>
    </row>
    <row r="101" spans="1:10">
      <c r="A101" s="224"/>
      <c r="B101" s="825" t="s">
        <v>198</v>
      </c>
      <c r="C101" s="825"/>
      <c r="D101" s="800">
        <f>'Data Sheet'!F106</f>
        <v>0</v>
      </c>
      <c r="E101" s="800"/>
      <c r="F101" s="800">
        <f>'Data Sheet'!H106</f>
        <v>0</v>
      </c>
      <c r="G101" s="800"/>
      <c r="H101" s="801">
        <f t="shared" si="1"/>
        <v>0</v>
      </c>
      <c r="I101" s="801"/>
      <c r="J101" s="801"/>
    </row>
    <row r="102" spans="1:10">
      <c r="A102" s="224"/>
      <c r="B102" s="825" t="s">
        <v>439</v>
      </c>
      <c r="C102" s="825"/>
      <c r="D102" s="800">
        <f>'Data Sheet'!F109</f>
        <v>0</v>
      </c>
      <c r="E102" s="800"/>
      <c r="F102" s="800">
        <f>'Data Sheet'!H109</f>
        <v>0</v>
      </c>
      <c r="G102" s="800"/>
      <c r="H102" s="801">
        <f t="shared" si="1"/>
        <v>0</v>
      </c>
      <c r="I102" s="801"/>
      <c r="J102" s="801"/>
    </row>
    <row r="103" spans="1:10">
      <c r="A103" s="224"/>
      <c r="B103" s="825" t="s">
        <v>355</v>
      </c>
      <c r="C103" s="825"/>
      <c r="D103" s="800">
        <f>'Data Sheet'!F110</f>
        <v>0</v>
      </c>
      <c r="E103" s="800"/>
      <c r="F103" s="800">
        <f>'Data Sheet'!H110</f>
        <v>0</v>
      </c>
      <c r="G103" s="800"/>
      <c r="H103" s="801">
        <f t="shared" si="1"/>
        <v>0</v>
      </c>
      <c r="I103" s="801"/>
      <c r="J103" s="801"/>
    </row>
    <row r="104" spans="1:10">
      <c r="A104" s="224"/>
      <c r="B104" s="825" t="s">
        <v>932</v>
      </c>
      <c r="C104" s="825"/>
      <c r="D104" s="800">
        <f>'Data Sheet'!H111</f>
        <v>0</v>
      </c>
      <c r="E104" s="800"/>
      <c r="F104" s="800">
        <f>'Data Sheet'!H111</f>
        <v>0</v>
      </c>
      <c r="G104" s="800"/>
      <c r="H104" s="801">
        <f t="shared" si="1"/>
        <v>0</v>
      </c>
      <c r="I104" s="801"/>
      <c r="J104" s="801"/>
    </row>
    <row r="105" spans="1:10">
      <c r="A105" s="224"/>
      <c r="B105" s="825" t="s">
        <v>1100</v>
      </c>
      <c r="C105" s="825"/>
      <c r="D105" s="800">
        <f>'Data Sheet'!H112</f>
        <v>0</v>
      </c>
      <c r="E105" s="800"/>
      <c r="F105" s="800">
        <f>'Data Sheet'!H112</f>
        <v>0</v>
      </c>
      <c r="G105" s="800"/>
      <c r="H105" s="801">
        <f t="shared" ref="H105:H106" si="2">F105</f>
        <v>0</v>
      </c>
      <c r="I105" s="801"/>
      <c r="J105" s="801"/>
    </row>
    <row r="106" spans="1:10">
      <c r="A106" s="224"/>
      <c r="B106" s="825" t="s">
        <v>1101</v>
      </c>
      <c r="C106" s="825"/>
      <c r="D106" s="800">
        <f>'Data Sheet'!H113</f>
        <v>0</v>
      </c>
      <c r="E106" s="800"/>
      <c r="F106" s="800">
        <f>'Data Sheet'!H113</f>
        <v>0</v>
      </c>
      <c r="G106" s="800"/>
      <c r="H106" s="801">
        <f t="shared" si="2"/>
        <v>0</v>
      </c>
      <c r="I106" s="801"/>
      <c r="J106" s="801"/>
    </row>
    <row r="107" spans="1:10">
      <c r="A107" s="224"/>
      <c r="B107" s="825" t="s">
        <v>290</v>
      </c>
      <c r="C107" s="825"/>
      <c r="D107" s="800">
        <f>'Data Sheet'!F114</f>
        <v>0</v>
      </c>
      <c r="E107" s="800"/>
      <c r="F107" s="800">
        <f>'Data Sheet'!H114</f>
        <v>0</v>
      </c>
      <c r="G107" s="800"/>
      <c r="H107" s="801">
        <f t="shared" si="1"/>
        <v>0</v>
      </c>
      <c r="I107" s="801"/>
      <c r="J107" s="801"/>
    </row>
    <row r="108" spans="1:10">
      <c r="A108" s="224"/>
      <c r="B108" s="825" t="s">
        <v>972</v>
      </c>
      <c r="C108" s="825"/>
      <c r="D108" s="800">
        <f>'Data Sheet'!F115</f>
        <v>0</v>
      </c>
      <c r="E108" s="800"/>
      <c r="F108" s="800">
        <f>'Data Sheet'!H115</f>
        <v>0</v>
      </c>
      <c r="G108" s="800"/>
      <c r="H108" s="801">
        <f>'Data Sheet'!H115</f>
        <v>0</v>
      </c>
      <c r="I108" s="801"/>
      <c r="J108" s="801"/>
    </row>
    <row r="109" spans="1:10">
      <c r="A109" s="224"/>
      <c r="B109" s="825" t="s">
        <v>1083</v>
      </c>
      <c r="C109" s="825"/>
      <c r="D109" s="800">
        <f>'Data Sheet'!F116</f>
        <v>0</v>
      </c>
      <c r="E109" s="800"/>
      <c r="F109" s="800">
        <f>'Data Sheet'!H116</f>
        <v>0</v>
      </c>
      <c r="G109" s="800"/>
      <c r="H109" s="801">
        <f>'Data Sheet'!H116</f>
        <v>0</v>
      </c>
      <c r="I109" s="801"/>
      <c r="J109" s="801"/>
    </row>
    <row r="110" spans="1:10">
      <c r="A110" s="224"/>
      <c r="B110" s="825" t="s">
        <v>197</v>
      </c>
      <c r="C110" s="825"/>
      <c r="D110" s="800">
        <f>'Data Sheet'!F108</f>
        <v>0</v>
      </c>
      <c r="E110" s="800"/>
      <c r="F110" s="800">
        <f>'Data Sheet'!H108</f>
        <v>0</v>
      </c>
      <c r="G110" s="800"/>
      <c r="H110" s="801">
        <f>F110</f>
        <v>0</v>
      </c>
      <c r="I110" s="801"/>
      <c r="J110" s="801"/>
    </row>
    <row r="111" spans="1:10">
      <c r="A111" s="224"/>
      <c r="B111" s="825" t="s">
        <v>356</v>
      </c>
      <c r="C111" s="825"/>
      <c r="D111" s="800">
        <f>'Data Sheet'!F118</f>
        <v>0</v>
      </c>
      <c r="E111" s="800"/>
      <c r="F111" s="800">
        <f>'Data Sheet'!H117</f>
        <v>0</v>
      </c>
      <c r="G111" s="800"/>
      <c r="H111" s="801">
        <f>F111</f>
        <v>0</v>
      </c>
      <c r="I111" s="801"/>
      <c r="J111" s="801"/>
    </row>
    <row r="112" spans="1:10">
      <c r="A112" s="222"/>
      <c r="B112" s="846" t="s">
        <v>297</v>
      </c>
      <c r="C112" s="846"/>
      <c r="D112" s="846"/>
      <c r="E112" s="846"/>
      <c r="F112" s="846"/>
      <c r="G112" s="846"/>
      <c r="H112" s="847">
        <f>SUM(H93:J111)</f>
        <v>0</v>
      </c>
      <c r="I112" s="847"/>
      <c r="J112" s="847"/>
    </row>
    <row r="113" spans="1:15">
      <c r="A113" s="321" t="s">
        <v>1076</v>
      </c>
      <c r="B113" s="846" t="s">
        <v>298</v>
      </c>
      <c r="C113" s="846"/>
      <c r="D113" s="846"/>
      <c r="E113" s="846"/>
      <c r="F113" s="846"/>
      <c r="G113" s="846"/>
      <c r="H113" s="847">
        <f>IF('Data Sheet'!I4="No",(H60-H112-H61),H60)</f>
        <v>0</v>
      </c>
      <c r="I113" s="847"/>
      <c r="J113" s="847"/>
      <c r="M113" s="218" t="s">
        <v>808</v>
      </c>
      <c r="N113" s="218" t="s">
        <v>809</v>
      </c>
      <c r="O113" s="218" t="s">
        <v>812</v>
      </c>
    </row>
    <row r="114" spans="1:15">
      <c r="A114" s="321" t="s">
        <v>1077</v>
      </c>
      <c r="B114" s="846" t="s">
        <v>253</v>
      </c>
      <c r="C114" s="846"/>
      <c r="D114" s="846"/>
      <c r="E114" s="846"/>
      <c r="F114" s="846"/>
      <c r="G114" s="846"/>
      <c r="H114" s="804">
        <f>IF('Data Sheet'!I4="Yes",'Computation Sheet'!M130,ROUND(IF('Data Sheet'!F12="Resident Individual",'Computation Sheet'!M118,IF('Data Sheet'!F12="Resident Senior Citizen",'Computation Sheet'!N118,IF('Data Sheet'!F12="Resident Very Senior Citizen",'Computation Sheet'!O118))),0))</f>
        <v>0</v>
      </c>
      <c r="I114" s="804"/>
      <c r="J114" s="804"/>
    </row>
    <row r="115" spans="1:15">
      <c r="A115" s="222"/>
      <c r="C115" s="837" t="s">
        <v>935</v>
      </c>
      <c r="D115" s="838"/>
      <c r="E115" s="838"/>
      <c r="F115" s="838"/>
      <c r="G115" s="839"/>
      <c r="H115" s="840">
        <f>IF('Data Sheet'!I4="Yes",0,IF(AND(H113&gt;250000,H113&lt;=500000),MIN(H114,12500),0))</f>
        <v>0</v>
      </c>
      <c r="I115" s="841"/>
      <c r="J115" s="842"/>
    </row>
    <row r="116" spans="1:15">
      <c r="A116" s="321" t="s">
        <v>1078</v>
      </c>
      <c r="B116" s="843" t="s">
        <v>936</v>
      </c>
      <c r="C116" s="844"/>
      <c r="D116" s="844"/>
      <c r="E116" s="844"/>
      <c r="F116" s="844"/>
      <c r="G116" s="845"/>
      <c r="H116" s="840">
        <f>H114-H115</f>
        <v>0</v>
      </c>
      <c r="I116" s="841"/>
      <c r="J116" s="842"/>
    </row>
    <row r="117" spans="1:15">
      <c r="A117" s="222"/>
      <c r="B117" s="231"/>
      <c r="C117" s="846" t="s">
        <v>299</v>
      </c>
      <c r="D117" s="846"/>
      <c r="E117" s="846"/>
      <c r="F117" s="846"/>
      <c r="G117" s="846"/>
      <c r="H117" s="852">
        <f>IF(AND(H113&gt;5000000,H113&lt;10000000),H116*10%,IF(H113&gt;10000000,H116*15%,IF(H113&lt;=5000000,0)))</f>
        <v>0</v>
      </c>
      <c r="I117" s="852"/>
      <c r="J117" s="852"/>
      <c r="L117" s="218" t="s">
        <v>810</v>
      </c>
      <c r="M117" s="219">
        <f>H113</f>
        <v>0</v>
      </c>
      <c r="N117" s="219">
        <f>H113</f>
        <v>0</v>
      </c>
      <c r="O117" s="219">
        <f>H113</f>
        <v>0</v>
      </c>
    </row>
    <row r="118" spans="1:15">
      <c r="A118" s="224"/>
      <c r="B118" s="224"/>
      <c r="C118" s="820" t="s">
        <v>300</v>
      </c>
      <c r="D118" s="820"/>
      <c r="E118" s="820"/>
      <c r="F118" s="820"/>
      <c r="G118" s="820"/>
      <c r="H118" s="829">
        <f>ROUND((H116+H117)*4%,0)</f>
        <v>0</v>
      </c>
      <c r="I118" s="829"/>
      <c r="J118" s="829"/>
      <c r="L118" s="218" t="s">
        <v>811</v>
      </c>
      <c r="M118" s="318">
        <f>IF(M117&lt;=250000,0,IF(M117&lt;=500000,(M117-250000)*5%,IF(M117&lt;=1000000,12500+(M117-500000)*20%,IF(M117&gt;1000000,112500+(M117-1000000)*30%))))</f>
        <v>0</v>
      </c>
      <c r="N118" s="318">
        <f>IF(N117&lt;=300000,0,IF(N117&lt;=500000,(N117-300000)*5%,IF(N117&lt;=1000000,10000+(N117-500000)*20%,IF(N117&gt;1000000,110000+(N117-1000000)*30%))))</f>
        <v>0</v>
      </c>
      <c r="O118" s="318">
        <f>IF(O117&lt;=500000,0,IF(AND(O117&gt;500000,O117&lt;=1000000),(O117-500000)*20%,IF(O117&gt;=1000000,100000+(O117-1000000)*30%)))</f>
        <v>0</v>
      </c>
    </row>
    <row r="119" spans="1:15">
      <c r="A119" s="321" t="s">
        <v>1079</v>
      </c>
      <c r="B119" s="820" t="s">
        <v>301</v>
      </c>
      <c r="C119" s="820"/>
      <c r="D119" s="820"/>
      <c r="E119" s="820"/>
      <c r="F119" s="820"/>
      <c r="G119" s="820"/>
      <c r="H119" s="829">
        <f>ROUND(H116+H117+H118,0)</f>
        <v>0</v>
      </c>
      <c r="I119" s="829"/>
      <c r="J119" s="829"/>
      <c r="L119" s="218" t="s">
        <v>813</v>
      </c>
      <c r="M119" s="318">
        <f>M118*4%</f>
        <v>0</v>
      </c>
      <c r="N119" s="318">
        <f>N118*4%</f>
        <v>0</v>
      </c>
      <c r="O119" s="318">
        <f>O118*4%</f>
        <v>0</v>
      </c>
    </row>
    <row r="120" spans="1:15" ht="24.75" customHeight="1">
      <c r="A120" s="321" t="s">
        <v>1080</v>
      </c>
      <c r="B120" s="802" t="s">
        <v>1045</v>
      </c>
      <c r="C120" s="802"/>
      <c r="D120" s="802"/>
      <c r="E120" s="802"/>
      <c r="F120" s="802"/>
      <c r="G120" s="802"/>
      <c r="H120" s="803" t="str">
        <f>IF('Data for Relief US 89'!I4="Yes",'Form 10E'!H40,0)</f>
        <v>Error!-Enter Data for Form 10E in Info Sheet</v>
      </c>
      <c r="I120" s="803"/>
      <c r="J120" s="803"/>
    </row>
    <row r="121" spans="1:15">
      <c r="A121" s="321" t="s">
        <v>1081</v>
      </c>
      <c r="B121" s="802" t="s">
        <v>279</v>
      </c>
      <c r="C121" s="802"/>
      <c r="D121" s="802"/>
      <c r="E121" s="802"/>
      <c r="F121" s="802"/>
      <c r="G121" s="802"/>
      <c r="H121" s="833">
        <f>'Earnings Sheet'!Y18+'Earnings Sheet'!Y19</f>
        <v>0</v>
      </c>
      <c r="I121" s="833"/>
      <c r="J121" s="833"/>
      <c r="L121" s="218" t="s">
        <v>26</v>
      </c>
      <c r="M121" s="318">
        <f>M118+M119</f>
        <v>0</v>
      </c>
      <c r="N121" s="318">
        <f>N118+N119</f>
        <v>0</v>
      </c>
      <c r="O121" s="318">
        <f>O118+O119</f>
        <v>0</v>
      </c>
    </row>
    <row r="122" spans="1:15" ht="27" customHeight="1">
      <c r="A122" s="321" t="s">
        <v>1082</v>
      </c>
      <c r="B122" s="834" t="str">
        <f>IF(H122&gt;0,"TAX PAYABLE",IF(H122&lt;0,"TAX REFUNDABLE",IF(H122=0,"TAX PAYABLE/REFUNDABLE")))</f>
        <v>TAX PAYABLE</v>
      </c>
      <c r="C122" s="835"/>
      <c r="D122" s="835"/>
      <c r="E122" s="835"/>
      <c r="F122" s="835"/>
      <c r="G122" s="836"/>
      <c r="H122" s="830" t="str">
        <f>IF(H120="Error!-Enter Data for Form 10E in Info Sheet","Error!-Enter Data for Form 10E in Info Sheet",(H119-H121-H120))</f>
        <v>Error!-Enter Data for Form 10E in Info Sheet</v>
      </c>
      <c r="I122" s="831"/>
      <c r="J122" s="832"/>
    </row>
    <row r="123" spans="1:15">
      <c r="A123" s="220"/>
      <c r="B123" s="220"/>
      <c r="C123" s="220"/>
      <c r="D123" s="220"/>
      <c r="E123" s="220"/>
      <c r="F123" s="220"/>
      <c r="G123" s="220"/>
      <c r="H123" s="220"/>
      <c r="I123" s="220"/>
      <c r="J123" s="220"/>
    </row>
    <row r="124" spans="1:15">
      <c r="A124" s="827" t="s">
        <v>280</v>
      </c>
      <c r="B124" s="827"/>
      <c r="C124" s="827" t="str">
        <f>IF('Data Sheet'!F171="","",'Data Sheet'!F171)</f>
        <v/>
      </c>
      <c r="D124" s="827"/>
      <c r="E124" s="827"/>
      <c r="F124" s="848">
        <f>'Data Sheet'!F167</f>
        <v>0</v>
      </c>
      <c r="G124" s="848"/>
      <c r="H124" s="848"/>
      <c r="I124" s="848"/>
      <c r="J124" s="848"/>
    </row>
    <row r="125" spans="1:15">
      <c r="A125" s="827" t="s">
        <v>141</v>
      </c>
      <c r="B125" s="827"/>
      <c r="C125" s="828" t="str">
        <f>IF('Data Sheet'!F170="","",'Data Sheet'!F170)</f>
        <v/>
      </c>
      <c r="D125" s="828"/>
      <c r="E125" s="828"/>
      <c r="F125" s="826">
        <f>'Data Sheet'!F14</f>
        <v>0</v>
      </c>
      <c r="G125" s="826"/>
      <c r="H125" s="826"/>
      <c r="I125" s="826"/>
      <c r="J125" s="826"/>
    </row>
    <row r="126" spans="1:15" hidden="1"/>
    <row r="127" spans="1:15" hidden="1"/>
    <row r="128" spans="1:15" hidden="1">
      <c r="A128" s="888" t="s">
        <v>1146</v>
      </c>
      <c r="B128" s="888"/>
      <c r="C128" s="888"/>
      <c r="D128" s="888"/>
      <c r="E128" s="888"/>
      <c r="F128" s="888"/>
      <c r="G128" s="888"/>
      <c r="H128" s="888"/>
      <c r="I128" s="888"/>
      <c r="J128" s="888"/>
    </row>
    <row r="129" spans="1:13" hidden="1">
      <c r="A129" s="889" t="s">
        <v>1147</v>
      </c>
      <c r="B129" s="889"/>
      <c r="C129" s="889"/>
      <c r="D129" s="889"/>
      <c r="E129" s="889"/>
      <c r="F129" s="889"/>
      <c r="G129" s="889"/>
      <c r="H129" s="889"/>
      <c r="I129" s="889"/>
      <c r="J129" s="886" t="s">
        <v>1148</v>
      </c>
      <c r="L129" s="218" t="s">
        <v>1149</v>
      </c>
      <c r="M129" s="219">
        <f>H113</f>
        <v>0</v>
      </c>
    </row>
    <row r="130" spans="1:13" hidden="1">
      <c r="A130" s="342" t="s">
        <v>89</v>
      </c>
      <c r="B130" s="890" t="s">
        <v>136</v>
      </c>
      <c r="C130" s="890"/>
      <c r="D130" s="890"/>
      <c r="E130" s="890"/>
      <c r="F130" s="890" t="s">
        <v>137</v>
      </c>
      <c r="G130" s="890"/>
      <c r="H130" s="890"/>
      <c r="I130" s="890"/>
      <c r="J130" s="887"/>
      <c r="L130" s="218" t="s">
        <v>1150</v>
      </c>
      <c r="M130" s="218">
        <f>IF('Data Sheet'!I4="Yes",IF(M129&lt;=250000,0,IF(M129&lt;=500000,(M129-250000)*5%,IF(M129&lt;=750000,(M129-500000)*10%+12500,IF(M129&lt;=1000000,(M129-750000)*15%+37500,IF(M129&lt;=1250000,(M129-1000000)*20%+75000,IF(M129&lt;=1500000*(M129-1250000)*25%+125000,IF(M129&gt;=1500000,(M129-1500000)*30%+187500))))))),0)</f>
        <v>0</v>
      </c>
    </row>
    <row r="131" spans="1:13" hidden="1">
      <c r="A131" s="342">
        <v>1</v>
      </c>
      <c r="B131" s="885">
        <v>1</v>
      </c>
      <c r="C131" s="885"/>
      <c r="D131" s="885"/>
      <c r="E131" s="885"/>
      <c r="F131" s="885">
        <v>250000</v>
      </c>
      <c r="G131" s="885"/>
      <c r="H131" s="885"/>
      <c r="I131" s="885"/>
      <c r="J131" s="343">
        <v>0</v>
      </c>
    </row>
    <row r="132" spans="1:13" hidden="1">
      <c r="A132" s="342">
        <v>2</v>
      </c>
      <c r="B132" s="885">
        <f>F131+1</f>
        <v>250001</v>
      </c>
      <c r="C132" s="885"/>
      <c r="D132" s="885"/>
      <c r="E132" s="885"/>
      <c r="F132" s="885">
        <v>500000</v>
      </c>
      <c r="G132" s="885"/>
      <c r="H132" s="885"/>
      <c r="I132" s="885"/>
      <c r="J132" s="344">
        <v>0.05</v>
      </c>
    </row>
    <row r="133" spans="1:13" hidden="1">
      <c r="A133" s="342">
        <v>3</v>
      </c>
      <c r="B133" s="885">
        <f t="shared" ref="B133:B137" si="3">F132+1</f>
        <v>500001</v>
      </c>
      <c r="C133" s="885"/>
      <c r="D133" s="885"/>
      <c r="E133" s="885"/>
      <c r="F133" s="885">
        <v>750000</v>
      </c>
      <c r="G133" s="885"/>
      <c r="H133" s="885"/>
      <c r="I133" s="885"/>
      <c r="J133" s="344">
        <v>0.1</v>
      </c>
    </row>
    <row r="134" spans="1:13" hidden="1">
      <c r="A134" s="342">
        <v>4</v>
      </c>
      <c r="B134" s="885">
        <f t="shared" si="3"/>
        <v>750001</v>
      </c>
      <c r="C134" s="885"/>
      <c r="D134" s="885"/>
      <c r="E134" s="885"/>
      <c r="F134" s="885">
        <v>1000000</v>
      </c>
      <c r="G134" s="885"/>
      <c r="H134" s="885"/>
      <c r="I134" s="885"/>
      <c r="J134" s="344">
        <v>0.15</v>
      </c>
    </row>
    <row r="135" spans="1:13" hidden="1">
      <c r="A135" s="342">
        <v>5</v>
      </c>
      <c r="B135" s="885">
        <f t="shared" si="3"/>
        <v>1000001</v>
      </c>
      <c r="C135" s="885"/>
      <c r="D135" s="885"/>
      <c r="E135" s="885"/>
      <c r="F135" s="885">
        <v>1250000</v>
      </c>
      <c r="G135" s="885"/>
      <c r="H135" s="885"/>
      <c r="I135" s="885"/>
      <c r="J135" s="344">
        <v>0.2</v>
      </c>
    </row>
    <row r="136" spans="1:13" hidden="1">
      <c r="A136" s="342">
        <v>6</v>
      </c>
      <c r="B136" s="885">
        <f t="shared" si="3"/>
        <v>1250001</v>
      </c>
      <c r="C136" s="885"/>
      <c r="D136" s="885"/>
      <c r="E136" s="885"/>
      <c r="F136" s="885">
        <v>1500000</v>
      </c>
      <c r="G136" s="885"/>
      <c r="H136" s="885"/>
      <c r="I136" s="885"/>
      <c r="J136" s="344">
        <v>0.25</v>
      </c>
    </row>
    <row r="137" spans="1:13" hidden="1">
      <c r="A137" s="342">
        <v>7</v>
      </c>
      <c r="B137" s="885">
        <f t="shared" si="3"/>
        <v>1500001</v>
      </c>
      <c r="C137" s="885"/>
      <c r="D137" s="885"/>
      <c r="E137" s="885"/>
      <c r="F137" s="885">
        <v>100000000</v>
      </c>
      <c r="G137" s="885"/>
      <c r="H137" s="885"/>
      <c r="I137" s="885"/>
      <c r="J137" s="344">
        <v>0.3</v>
      </c>
    </row>
  </sheetData>
  <sheetProtection formatCells="0" formatColumns="0" formatRows="0" insertColumns="0"/>
  <customSheetViews>
    <customSheetView guid="{BC7AD179-3218-4244-A3F6-4056F6A573C9}" topLeftCell="A93">
      <selection activeCell="H97" sqref="H97:J97"/>
      <rowBreaks count="1" manualBreakCount="1">
        <brk id="53" max="16383" man="1"/>
      </rowBreaks>
      <pageMargins left="0.55118110236220474" right="0.55118110236220474" top="0.39370078740157483" bottom="0.39370078740157483" header="0.31496062992125984" footer="0.31496062992125984"/>
      <printOptions horizontalCentered="1" verticalCentered="1"/>
      <pageSetup paperSize="5" orientation="portrait" horizontalDpi="360" verticalDpi="360" r:id="rId1"/>
      <headerFooter alignWithMargins="0">
        <oddHeader>&amp;A&amp;RPage &amp;P</oddHeader>
      </headerFooter>
    </customSheetView>
  </customSheetViews>
  <mergeCells count="309">
    <mergeCell ref="B136:E136"/>
    <mergeCell ref="F136:I136"/>
    <mergeCell ref="B137:E137"/>
    <mergeCell ref="F137:I137"/>
    <mergeCell ref="J129:J130"/>
    <mergeCell ref="A128:J128"/>
    <mergeCell ref="A129:I129"/>
    <mergeCell ref="B130:E130"/>
    <mergeCell ref="F130:I130"/>
    <mergeCell ref="B131:E131"/>
    <mergeCell ref="F131:I131"/>
    <mergeCell ref="B132:E132"/>
    <mergeCell ref="F132:I132"/>
    <mergeCell ref="B133:E133"/>
    <mergeCell ref="F133:I133"/>
    <mergeCell ref="B134:E134"/>
    <mergeCell ref="F134:I134"/>
    <mergeCell ref="B135:E135"/>
    <mergeCell ref="F135:I135"/>
    <mergeCell ref="B65:D65"/>
    <mergeCell ref="C82:D82"/>
    <mergeCell ref="C77:D77"/>
    <mergeCell ref="A50:A52"/>
    <mergeCell ref="B109:C109"/>
    <mergeCell ref="D109:E109"/>
    <mergeCell ref="F109:G109"/>
    <mergeCell ref="H109:J109"/>
    <mergeCell ref="B61:G61"/>
    <mergeCell ref="H61:J61"/>
    <mergeCell ref="B97:C97"/>
    <mergeCell ref="D97:E97"/>
    <mergeCell ref="F97:G97"/>
    <mergeCell ref="H97:J97"/>
    <mergeCell ref="B108:C108"/>
    <mergeCell ref="D108:E108"/>
    <mergeCell ref="F108:G108"/>
    <mergeCell ref="H108:J108"/>
    <mergeCell ref="C89:D89"/>
    <mergeCell ref="F89:G89"/>
    <mergeCell ref="H104:J104"/>
    <mergeCell ref="F94:G94"/>
    <mergeCell ref="B96:C96"/>
    <mergeCell ref="F74:G74"/>
    <mergeCell ref="C75:D75"/>
    <mergeCell ref="F77:G77"/>
    <mergeCell ref="C67:D67"/>
    <mergeCell ref="C68:D68"/>
    <mergeCell ref="C69:D69"/>
    <mergeCell ref="F70:G70"/>
    <mergeCell ref="C86:D86"/>
    <mergeCell ref="C79:D79"/>
    <mergeCell ref="F79:G79"/>
    <mergeCell ref="E84:E85"/>
    <mergeCell ref="C83:D83"/>
    <mergeCell ref="C81:D81"/>
    <mergeCell ref="F84:G85"/>
    <mergeCell ref="F81:G81"/>
    <mergeCell ref="F83:G83"/>
    <mergeCell ref="C78:D78"/>
    <mergeCell ref="F80:G80"/>
    <mergeCell ref="B54:G54"/>
    <mergeCell ref="H45:J45"/>
    <mergeCell ref="H10:J10"/>
    <mergeCell ref="H40:J40"/>
    <mergeCell ref="H29:J29"/>
    <mergeCell ref="H23:J23"/>
    <mergeCell ref="B55:G55"/>
    <mergeCell ref="B48:G48"/>
    <mergeCell ref="B46:G46"/>
    <mergeCell ref="E43:G43"/>
    <mergeCell ref="B37:G37"/>
    <mergeCell ref="H42:J42"/>
    <mergeCell ref="B40:G40"/>
    <mergeCell ref="H31:J31"/>
    <mergeCell ref="B31:G31"/>
    <mergeCell ref="B32:G32"/>
    <mergeCell ref="H43:J43"/>
    <mergeCell ref="H47:J47"/>
    <mergeCell ref="H39:J39"/>
    <mergeCell ref="H46:J46"/>
    <mergeCell ref="H48:J48"/>
    <mergeCell ref="B27:G27"/>
    <mergeCell ref="B28:G28"/>
    <mergeCell ref="B29:G29"/>
    <mergeCell ref="B47:G47"/>
    <mergeCell ref="B44:D44"/>
    <mergeCell ref="B30:G30"/>
    <mergeCell ref="E45:G45"/>
    <mergeCell ref="B33:G33"/>
    <mergeCell ref="B34:G34"/>
    <mergeCell ref="B35:G35"/>
    <mergeCell ref="H49:J49"/>
    <mergeCell ref="B38:G38"/>
    <mergeCell ref="B39:G39"/>
    <mergeCell ref="B49:G49"/>
    <mergeCell ref="B43:D43"/>
    <mergeCell ref="B45:D45"/>
    <mergeCell ref="E42:G42"/>
    <mergeCell ref="E44:G44"/>
    <mergeCell ref="E41:G41"/>
    <mergeCell ref="B36:G36"/>
    <mergeCell ref="H51:J51"/>
    <mergeCell ref="H35:J35"/>
    <mergeCell ref="H28:J28"/>
    <mergeCell ref="H32:J32"/>
    <mergeCell ref="H17:J17"/>
    <mergeCell ref="H18:J18"/>
    <mergeCell ref="H30:J30"/>
    <mergeCell ref="H19:J19"/>
    <mergeCell ref="H50:J50"/>
    <mergeCell ref="H37:J37"/>
    <mergeCell ref="H36:J36"/>
    <mergeCell ref="H38:J38"/>
    <mergeCell ref="H27:J27"/>
    <mergeCell ref="H33:J33"/>
    <mergeCell ref="H34:J34"/>
    <mergeCell ref="B11:G11"/>
    <mergeCell ref="B25:G25"/>
    <mergeCell ref="B13:G13"/>
    <mergeCell ref="H12:J12"/>
    <mergeCell ref="H6:J6"/>
    <mergeCell ref="H7:J7"/>
    <mergeCell ref="H13:J13"/>
    <mergeCell ref="H22:J22"/>
    <mergeCell ref="B17:G17"/>
    <mergeCell ref="B12:G12"/>
    <mergeCell ref="B6:G6"/>
    <mergeCell ref="B7:G7"/>
    <mergeCell ref="B24:G24"/>
    <mergeCell ref="B8:G8"/>
    <mergeCell ref="B9:G9"/>
    <mergeCell ref="B14:G14"/>
    <mergeCell ref="H14:J14"/>
    <mergeCell ref="H8:J8"/>
    <mergeCell ref="H9:J9"/>
    <mergeCell ref="H16:J16"/>
    <mergeCell ref="B20:G20"/>
    <mergeCell ref="H20:J20"/>
    <mergeCell ref="A1:J1"/>
    <mergeCell ref="A2:J2"/>
    <mergeCell ref="A3:J3"/>
    <mergeCell ref="F5:J5"/>
    <mergeCell ref="H4:J4"/>
    <mergeCell ref="H26:J26"/>
    <mergeCell ref="B19:G19"/>
    <mergeCell ref="A4:C4"/>
    <mergeCell ref="D4:E4"/>
    <mergeCell ref="F4:G4"/>
    <mergeCell ref="H24:J24"/>
    <mergeCell ref="H25:J25"/>
    <mergeCell ref="H15:J15"/>
    <mergeCell ref="H21:J21"/>
    <mergeCell ref="B26:G26"/>
    <mergeCell ref="B21:G21"/>
    <mergeCell ref="H11:J11"/>
    <mergeCell ref="A5:E5"/>
    <mergeCell ref="B18:G18"/>
    <mergeCell ref="B10:G10"/>
    <mergeCell ref="B15:G15"/>
    <mergeCell ref="B16:G16"/>
    <mergeCell ref="B23:G23"/>
    <mergeCell ref="B22:G22"/>
    <mergeCell ref="F87:G87"/>
    <mergeCell ref="F82:G82"/>
    <mergeCell ref="C74:D74"/>
    <mergeCell ref="F51:G51"/>
    <mergeCell ref="C51:E51"/>
    <mergeCell ref="B50:G50"/>
    <mergeCell ref="B42:D42"/>
    <mergeCell ref="B41:D41"/>
    <mergeCell ref="F72:G72"/>
    <mergeCell ref="C76:D76"/>
    <mergeCell ref="B53:G53"/>
    <mergeCell ref="F66:G66"/>
    <mergeCell ref="C71:D71"/>
    <mergeCell ref="C66:D66"/>
    <mergeCell ref="B63:G64"/>
    <mergeCell ref="C72:D72"/>
    <mergeCell ref="C73:D73"/>
    <mergeCell ref="B59:G59"/>
    <mergeCell ref="B62:J62"/>
    <mergeCell ref="B58:G58"/>
    <mergeCell ref="H41:J41"/>
    <mergeCell ref="H44:J44"/>
    <mergeCell ref="F65:G65"/>
    <mergeCell ref="H63:J91"/>
    <mergeCell ref="F95:G95"/>
    <mergeCell ref="B94:C94"/>
    <mergeCell ref="F68:G69"/>
    <mergeCell ref="C80:D80"/>
    <mergeCell ref="F76:G76"/>
    <mergeCell ref="H92:J92"/>
    <mergeCell ref="H117:J117"/>
    <mergeCell ref="H98:J98"/>
    <mergeCell ref="B113:G113"/>
    <mergeCell ref="F98:G98"/>
    <mergeCell ref="H116:J116"/>
    <mergeCell ref="F100:G100"/>
    <mergeCell ref="B104:C104"/>
    <mergeCell ref="D104:E104"/>
    <mergeCell ref="F104:G104"/>
    <mergeCell ref="F101:G101"/>
    <mergeCell ref="H101:J101"/>
    <mergeCell ref="D103:E103"/>
    <mergeCell ref="H93:J96"/>
    <mergeCell ref="F96:G96"/>
    <mergeCell ref="F93:G93"/>
    <mergeCell ref="H112:J112"/>
    <mergeCell ref="D93:E93"/>
    <mergeCell ref="C70:D70"/>
    <mergeCell ref="F125:J125"/>
    <mergeCell ref="A125:B125"/>
    <mergeCell ref="A124:B124"/>
    <mergeCell ref="C124:E124"/>
    <mergeCell ref="C125:E125"/>
    <mergeCell ref="H119:J119"/>
    <mergeCell ref="B119:G119"/>
    <mergeCell ref="H122:J122"/>
    <mergeCell ref="D111:E111"/>
    <mergeCell ref="B111:C111"/>
    <mergeCell ref="C118:G118"/>
    <mergeCell ref="H121:J121"/>
    <mergeCell ref="B121:G121"/>
    <mergeCell ref="B122:G122"/>
    <mergeCell ref="H118:J118"/>
    <mergeCell ref="F111:G111"/>
    <mergeCell ref="C115:G115"/>
    <mergeCell ref="H115:J115"/>
    <mergeCell ref="B116:G116"/>
    <mergeCell ref="C117:G117"/>
    <mergeCell ref="B112:G112"/>
    <mergeCell ref="H113:J113"/>
    <mergeCell ref="F124:J124"/>
    <mergeCell ref="B114:G114"/>
    <mergeCell ref="B99:C99"/>
    <mergeCell ref="D99:E99"/>
    <mergeCell ref="B102:C102"/>
    <mergeCell ref="F99:G99"/>
    <mergeCell ref="H100:J100"/>
    <mergeCell ref="D102:E102"/>
    <mergeCell ref="F102:G102"/>
    <mergeCell ref="H99:J99"/>
    <mergeCell ref="B110:C110"/>
    <mergeCell ref="D110:E110"/>
    <mergeCell ref="H103:J103"/>
    <mergeCell ref="H102:J102"/>
    <mergeCell ref="B101:C101"/>
    <mergeCell ref="D101:E101"/>
    <mergeCell ref="F103:G103"/>
    <mergeCell ref="H110:J110"/>
    <mergeCell ref="B100:C100"/>
    <mergeCell ref="H107:J107"/>
    <mergeCell ref="B103:C103"/>
    <mergeCell ref="B107:C107"/>
    <mergeCell ref="D107:E107"/>
    <mergeCell ref="D100:E100"/>
    <mergeCell ref="B105:C105"/>
    <mergeCell ref="B106:C106"/>
    <mergeCell ref="D98:E98"/>
    <mergeCell ref="D92:E92"/>
    <mergeCell ref="B93:C93"/>
    <mergeCell ref="C90:D90"/>
    <mergeCell ref="C91:D91"/>
    <mergeCell ref="D96:E96"/>
    <mergeCell ref="D95:E95"/>
    <mergeCell ref="C84:D85"/>
    <mergeCell ref="C87:D87"/>
    <mergeCell ref="B95:C95"/>
    <mergeCell ref="B84:B85"/>
    <mergeCell ref="B92:C92"/>
    <mergeCell ref="B98:C98"/>
    <mergeCell ref="D94:E94"/>
    <mergeCell ref="C88:D88"/>
    <mergeCell ref="F92:G92"/>
    <mergeCell ref="F86:G86"/>
    <mergeCell ref="F90:G90"/>
    <mergeCell ref="F88:G88"/>
    <mergeCell ref="H52:J52"/>
    <mergeCell ref="H60:J60"/>
    <mergeCell ref="H53:J53"/>
    <mergeCell ref="H54:J54"/>
    <mergeCell ref="H58:J58"/>
    <mergeCell ref="H55:J55"/>
    <mergeCell ref="H56:J56"/>
    <mergeCell ref="F71:G71"/>
    <mergeCell ref="B57:G57"/>
    <mergeCell ref="F52:G52"/>
    <mergeCell ref="C52:E52"/>
    <mergeCell ref="F91:G91"/>
    <mergeCell ref="F78:G78"/>
    <mergeCell ref="F67:G67"/>
    <mergeCell ref="B56:G56"/>
    <mergeCell ref="B60:G60"/>
    <mergeCell ref="F75:G75"/>
    <mergeCell ref="F73:G73"/>
    <mergeCell ref="H57:J57"/>
    <mergeCell ref="H59:J59"/>
    <mergeCell ref="D105:E105"/>
    <mergeCell ref="D106:E106"/>
    <mergeCell ref="F105:G105"/>
    <mergeCell ref="F106:G106"/>
    <mergeCell ref="H105:J105"/>
    <mergeCell ref="H106:J106"/>
    <mergeCell ref="B120:G120"/>
    <mergeCell ref="H120:J120"/>
    <mergeCell ref="H114:J114"/>
    <mergeCell ref="H111:J111"/>
    <mergeCell ref="F110:G110"/>
    <mergeCell ref="F107:G107"/>
  </mergeCells>
  <phoneticPr fontId="0" type="noConversion"/>
  <printOptions horizontalCentered="1"/>
  <pageMargins left="0.55118110236220497" right="0.55118110236220497" top="0.39370078740157499" bottom="0.39370078740157499" header="0.31496062992126" footer="0.31496062992126"/>
  <pageSetup paperSize="9" scale="85" orientation="portrait" horizontalDpi="360" verticalDpi="360" r:id="rId2"/>
  <headerFooter alignWithMargins="0">
    <oddHeader>&amp;A&amp;RPage &amp;P</oddHeader>
  </headerFooter>
  <rowBreaks count="1" manualBreakCount="1">
    <brk id="61" max="16383" man="1"/>
  </rowBreaks>
  <legacyDrawing r:id="rId3"/>
</worksheet>
</file>

<file path=xl/worksheets/sheet9.xml><?xml version="1.0" encoding="utf-8"?>
<worksheet xmlns="http://schemas.openxmlformats.org/spreadsheetml/2006/main" xmlns:r="http://schemas.openxmlformats.org/officeDocument/2006/relationships">
  <sheetPr codeName="Sheet2" enableFormatConditionsCalculation="0">
    <tabColor indexed="33"/>
  </sheetPr>
  <dimension ref="A1:Z212"/>
  <sheetViews>
    <sheetView topLeftCell="C10" zoomScale="75" zoomScaleNormal="75" workbookViewId="0">
      <selection activeCell="D16" sqref="D16"/>
    </sheetView>
  </sheetViews>
  <sheetFormatPr defaultRowHeight="16.5"/>
  <cols>
    <col min="1" max="2" width="13.28515625" style="184" hidden="1" customWidth="1"/>
    <col min="3" max="3" width="9.140625" style="184"/>
    <col min="4" max="4" width="12.85546875" style="184" bestFit="1" customWidth="1"/>
    <col min="5" max="5" width="7" style="184" bestFit="1" customWidth="1"/>
    <col min="6" max="6" width="10" style="184" bestFit="1" customWidth="1"/>
    <col min="7" max="7" width="12.140625" style="56" bestFit="1" customWidth="1"/>
    <col min="8" max="8" width="9.28515625" style="184" bestFit="1" customWidth="1"/>
    <col min="9" max="9" width="11" style="56" bestFit="1" customWidth="1"/>
    <col min="10" max="10" width="7.5703125" style="184" bestFit="1" customWidth="1"/>
    <col min="11" max="11" width="9.7109375" style="56" bestFit="1" customWidth="1"/>
    <col min="12" max="12" width="10.85546875" style="184" bestFit="1" customWidth="1"/>
    <col min="13" max="13" width="10.85546875" style="280" customWidth="1"/>
    <col min="14" max="14" width="10.85546875" style="312" customWidth="1"/>
    <col min="15" max="16" width="10.85546875" style="339" customWidth="1"/>
    <col min="17" max="17" width="14.5703125" style="58" bestFit="1" customWidth="1"/>
    <col min="18" max="18" width="12" style="58" bestFit="1" customWidth="1"/>
    <col min="19" max="19" width="5.42578125" style="184" bestFit="1" customWidth="1"/>
    <col min="20" max="20" width="9.28515625" style="184" customWidth="1"/>
    <col min="21" max="21" width="10.42578125" style="184" customWidth="1"/>
    <col min="22" max="22" width="8.5703125" style="184" bestFit="1" customWidth="1"/>
    <col min="23" max="23" width="8.7109375" style="184" customWidth="1"/>
    <col min="24" max="24" width="11" style="184" customWidth="1"/>
    <col min="25" max="25" width="10.85546875" style="184" bestFit="1" customWidth="1"/>
    <col min="26" max="26" width="9.85546875" style="184" customWidth="1"/>
    <col min="27" max="28" width="9.140625" style="184"/>
    <col min="29" max="29" width="14.42578125" style="184" bestFit="1" customWidth="1"/>
    <col min="30" max="30" width="9.140625" style="184"/>
    <col min="31" max="31" width="14.42578125" style="184" bestFit="1" customWidth="1"/>
    <col min="32" max="16384" width="9.140625" style="184"/>
  </cols>
  <sheetData>
    <row r="1" spans="1:26">
      <c r="C1" s="891" t="str">
        <f>'Data Sheet'!A1</f>
        <v>UNION BANK OF INDIA</v>
      </c>
      <c r="D1" s="891"/>
      <c r="E1" s="891"/>
      <c r="F1" s="891"/>
      <c r="G1" s="891"/>
      <c r="H1" s="891"/>
      <c r="I1" s="891"/>
      <c r="J1" s="891"/>
      <c r="K1" s="891"/>
      <c r="L1" s="891"/>
      <c r="M1" s="891"/>
      <c r="N1" s="891"/>
      <c r="O1" s="891"/>
      <c r="P1" s="891"/>
      <c r="Q1" s="891"/>
      <c r="R1" s="891"/>
      <c r="S1" s="891"/>
      <c r="T1" s="891"/>
      <c r="U1" s="891"/>
      <c r="V1" s="891"/>
      <c r="W1" s="891"/>
      <c r="X1" s="891"/>
      <c r="Y1" s="891"/>
      <c r="Z1" s="891"/>
    </row>
    <row r="2" spans="1:26">
      <c r="C2" s="892" t="s">
        <v>1113</v>
      </c>
      <c r="D2" s="891"/>
      <c r="E2" s="891"/>
      <c r="F2" s="891"/>
      <c r="G2" s="891"/>
      <c r="H2" s="891"/>
      <c r="I2" s="891"/>
      <c r="J2" s="891"/>
      <c r="K2" s="891"/>
      <c r="L2" s="891"/>
      <c r="M2" s="891"/>
      <c r="N2" s="891"/>
      <c r="O2" s="891"/>
      <c r="P2" s="891"/>
      <c r="Q2" s="891"/>
      <c r="R2" s="891"/>
      <c r="S2" s="891"/>
      <c r="T2" s="891"/>
      <c r="U2" s="891"/>
      <c r="V2" s="891"/>
      <c r="W2" s="891"/>
      <c r="X2" s="891"/>
      <c r="Y2" s="891"/>
      <c r="Z2" s="891"/>
    </row>
    <row r="3" spans="1:26" ht="17.25" thickBot="1">
      <c r="A3" s="909" t="s">
        <v>522</v>
      </c>
      <c r="B3" s="909"/>
      <c r="C3" s="99"/>
      <c r="D3" s="99"/>
      <c r="E3" s="99"/>
      <c r="F3" s="99"/>
      <c r="G3" s="102"/>
      <c r="H3" s="99"/>
      <c r="I3" s="908" t="s">
        <v>9</v>
      </c>
      <c r="J3" s="908"/>
      <c r="K3" s="908"/>
      <c r="L3" s="908">
        <f>'Data Sheet'!F7</f>
        <v>0</v>
      </c>
      <c r="M3" s="908"/>
      <c r="N3" s="908"/>
      <c r="O3" s="908"/>
      <c r="P3" s="908"/>
      <c r="Q3" s="908"/>
      <c r="R3" s="908"/>
      <c r="S3" s="908"/>
      <c r="T3" s="908"/>
      <c r="U3" s="99"/>
      <c r="V3" s="99"/>
      <c r="W3" s="893" t="s">
        <v>182</v>
      </c>
      <c r="X3" s="893"/>
      <c r="Y3" s="893"/>
      <c r="Z3" s="893"/>
    </row>
    <row r="4" spans="1:26" ht="44.25" customHeight="1" thickTop="1">
      <c r="A4" s="184" t="s">
        <v>136</v>
      </c>
      <c r="B4" s="184" t="s">
        <v>137</v>
      </c>
      <c r="C4" s="103" t="s">
        <v>10</v>
      </c>
      <c r="D4" s="104" t="s">
        <v>11</v>
      </c>
      <c r="E4" s="105" t="s">
        <v>903</v>
      </c>
      <c r="F4" s="104" t="s">
        <v>12</v>
      </c>
      <c r="G4" s="308" t="s">
        <v>13</v>
      </c>
      <c r="H4" s="104" t="s">
        <v>14</v>
      </c>
      <c r="I4" s="106" t="s">
        <v>15</v>
      </c>
      <c r="J4" s="104" t="s">
        <v>16</v>
      </c>
      <c r="K4" s="106" t="s">
        <v>17</v>
      </c>
      <c r="L4" s="104" t="s">
        <v>18</v>
      </c>
      <c r="M4" s="104" t="s">
        <v>1048</v>
      </c>
      <c r="N4" s="104" t="s">
        <v>1049</v>
      </c>
      <c r="O4" s="104" t="s">
        <v>1114</v>
      </c>
      <c r="P4" s="104" t="s">
        <v>1115</v>
      </c>
      <c r="Q4" s="107" t="s">
        <v>19</v>
      </c>
      <c r="R4" s="108" t="s">
        <v>1068</v>
      </c>
      <c r="S4" s="104" t="s">
        <v>116</v>
      </c>
      <c r="T4" s="123" t="s">
        <v>20</v>
      </c>
      <c r="U4" s="123" t="s">
        <v>21</v>
      </c>
      <c r="V4" s="123" t="s">
        <v>22</v>
      </c>
      <c r="W4" s="109" t="s">
        <v>23</v>
      </c>
      <c r="X4" s="267" t="s">
        <v>944</v>
      </c>
      <c r="Y4" s="110" t="s">
        <v>24</v>
      </c>
      <c r="Z4" s="111" t="s">
        <v>25</v>
      </c>
    </row>
    <row r="5" spans="1:26" ht="27.95" customHeight="1">
      <c r="A5" s="129">
        <f>EOMONTH(C5,-1)+1</f>
        <v>43922</v>
      </c>
      <c r="B5" s="129">
        <f>EOMONTH(C5,0)</f>
        <v>43951</v>
      </c>
      <c r="C5" s="112">
        <v>43922</v>
      </c>
      <c r="D5" s="264"/>
      <c r="E5" s="264"/>
      <c r="F5" s="264"/>
      <c r="G5" s="264"/>
      <c r="H5" s="264"/>
      <c r="I5" s="264"/>
      <c r="J5" s="264"/>
      <c r="K5" s="264"/>
      <c r="L5" s="264"/>
      <c r="M5" s="264"/>
      <c r="N5" s="264"/>
      <c r="O5" s="264"/>
      <c r="P5" s="264"/>
      <c r="Q5" s="113">
        <f>SUM(D5:P5)</f>
        <v>0</v>
      </c>
      <c r="R5" s="264"/>
      <c r="S5" s="265"/>
      <c r="T5" s="264"/>
      <c r="U5" s="264"/>
      <c r="V5" s="264"/>
      <c r="W5" s="266"/>
      <c r="X5" s="265"/>
      <c r="Y5" s="313"/>
      <c r="Z5" s="264"/>
    </row>
    <row r="6" spans="1:26" ht="27.95" customHeight="1">
      <c r="A6" s="129">
        <f>EOMONTH(C6,-1)+1</f>
        <v>43952</v>
      </c>
      <c r="B6" s="129">
        <f>EOMONTH(C6,0)</f>
        <v>43982</v>
      </c>
      <c r="C6" s="112">
        <v>43952</v>
      </c>
      <c r="D6" s="264"/>
      <c r="E6" s="264"/>
      <c r="F6" s="264"/>
      <c r="G6" s="264"/>
      <c r="H6" s="264"/>
      <c r="I6" s="264"/>
      <c r="J6" s="264"/>
      <c r="K6" s="264"/>
      <c r="L6" s="264"/>
      <c r="M6" s="264"/>
      <c r="N6" s="264"/>
      <c r="O6" s="264"/>
      <c r="P6" s="264"/>
      <c r="Q6" s="113">
        <f t="shared" ref="Q6:Q16" si="0">SUM(D6:P6)</f>
        <v>0</v>
      </c>
      <c r="R6" s="264"/>
      <c r="S6" s="265"/>
      <c r="T6" s="264"/>
      <c r="U6" s="264"/>
      <c r="V6" s="264"/>
      <c r="W6" s="266"/>
      <c r="X6" s="265"/>
      <c r="Y6" s="313"/>
      <c r="Z6" s="264"/>
    </row>
    <row r="7" spans="1:26" ht="27.95" customHeight="1">
      <c r="A7" s="129">
        <f t="shared" ref="A7:A16" si="1">EOMONTH(C7,-1)+1</f>
        <v>43983</v>
      </c>
      <c r="B7" s="129">
        <f t="shared" ref="B7:B16" si="2">EOMONTH(C7,0)</f>
        <v>44012</v>
      </c>
      <c r="C7" s="112">
        <v>43983</v>
      </c>
      <c r="D7" s="264"/>
      <c r="E7" s="264"/>
      <c r="F7" s="264"/>
      <c r="G7" s="264"/>
      <c r="H7" s="264"/>
      <c r="I7" s="264"/>
      <c r="J7" s="264"/>
      <c r="K7" s="264"/>
      <c r="L7" s="264"/>
      <c r="M7" s="264"/>
      <c r="N7" s="264"/>
      <c r="O7" s="264"/>
      <c r="P7" s="264"/>
      <c r="Q7" s="113">
        <f t="shared" si="0"/>
        <v>0</v>
      </c>
      <c r="R7" s="264"/>
      <c r="S7" s="265"/>
      <c r="T7" s="264"/>
      <c r="U7" s="264"/>
      <c r="V7" s="264"/>
      <c r="W7" s="266"/>
      <c r="X7" s="265"/>
      <c r="Y7" s="313"/>
      <c r="Z7" s="264"/>
    </row>
    <row r="8" spans="1:26" ht="27.95" customHeight="1">
      <c r="A8" s="129">
        <f t="shared" si="1"/>
        <v>44013</v>
      </c>
      <c r="B8" s="129">
        <f t="shared" si="2"/>
        <v>44043</v>
      </c>
      <c r="C8" s="112">
        <v>44013</v>
      </c>
      <c r="D8" s="264"/>
      <c r="E8" s="264"/>
      <c r="F8" s="264"/>
      <c r="G8" s="264"/>
      <c r="H8" s="264"/>
      <c r="I8" s="264"/>
      <c r="J8" s="264"/>
      <c r="K8" s="264"/>
      <c r="L8" s="264"/>
      <c r="M8" s="264"/>
      <c r="N8" s="264"/>
      <c r="O8" s="264"/>
      <c r="P8" s="264"/>
      <c r="Q8" s="113">
        <f t="shared" si="0"/>
        <v>0</v>
      </c>
      <c r="R8" s="264"/>
      <c r="S8" s="265"/>
      <c r="T8" s="264"/>
      <c r="U8" s="264"/>
      <c r="V8" s="264"/>
      <c r="W8" s="266"/>
      <c r="X8" s="265"/>
      <c r="Y8" s="313"/>
      <c r="Z8" s="264"/>
    </row>
    <row r="9" spans="1:26" ht="27.95" customHeight="1">
      <c r="A9" s="129">
        <f t="shared" si="1"/>
        <v>44044</v>
      </c>
      <c r="B9" s="129">
        <f t="shared" si="2"/>
        <v>44074</v>
      </c>
      <c r="C9" s="112">
        <v>44044</v>
      </c>
      <c r="D9" s="264"/>
      <c r="E9" s="264"/>
      <c r="F9" s="264"/>
      <c r="G9" s="264"/>
      <c r="H9" s="264"/>
      <c r="I9" s="264"/>
      <c r="J9" s="264"/>
      <c r="K9" s="264"/>
      <c r="L9" s="264"/>
      <c r="M9" s="264"/>
      <c r="N9" s="264"/>
      <c r="O9" s="264"/>
      <c r="P9" s="264"/>
      <c r="Q9" s="113">
        <f t="shared" si="0"/>
        <v>0</v>
      </c>
      <c r="R9" s="264"/>
      <c r="S9" s="265"/>
      <c r="T9" s="264"/>
      <c r="U9" s="264"/>
      <c r="V9" s="264"/>
      <c r="W9" s="266"/>
      <c r="X9" s="265"/>
      <c r="Y9" s="313"/>
      <c r="Z9" s="264"/>
    </row>
    <row r="10" spans="1:26" ht="27.95" customHeight="1">
      <c r="A10" s="129">
        <f t="shared" si="1"/>
        <v>44075</v>
      </c>
      <c r="B10" s="129">
        <f t="shared" si="2"/>
        <v>44104</v>
      </c>
      <c r="C10" s="112">
        <v>44075</v>
      </c>
      <c r="D10" s="264"/>
      <c r="E10" s="264"/>
      <c r="F10" s="264"/>
      <c r="G10" s="264"/>
      <c r="H10" s="264"/>
      <c r="I10" s="264"/>
      <c r="J10" s="264"/>
      <c r="K10" s="264"/>
      <c r="L10" s="264"/>
      <c r="M10" s="264"/>
      <c r="N10" s="264"/>
      <c r="O10" s="264"/>
      <c r="P10" s="264"/>
      <c r="Q10" s="113">
        <f t="shared" si="0"/>
        <v>0</v>
      </c>
      <c r="R10" s="264"/>
      <c r="S10" s="265"/>
      <c r="T10" s="264"/>
      <c r="U10" s="264"/>
      <c r="V10" s="264"/>
      <c r="W10" s="266"/>
      <c r="X10" s="265"/>
      <c r="Y10" s="313"/>
      <c r="Z10" s="264"/>
    </row>
    <row r="11" spans="1:26" ht="27.95" customHeight="1">
      <c r="A11" s="129">
        <f t="shared" si="1"/>
        <v>44105</v>
      </c>
      <c r="B11" s="129">
        <f t="shared" si="2"/>
        <v>44135</v>
      </c>
      <c r="C11" s="112">
        <v>44105</v>
      </c>
      <c r="D11" s="264"/>
      <c r="E11" s="264"/>
      <c r="F11" s="264"/>
      <c r="G11" s="264"/>
      <c r="H11" s="264"/>
      <c r="I11" s="264"/>
      <c r="J11" s="264"/>
      <c r="K11" s="264"/>
      <c r="L11" s="264"/>
      <c r="M11" s="264"/>
      <c r="N11" s="264"/>
      <c r="O11" s="264"/>
      <c r="P11" s="264"/>
      <c r="Q11" s="113">
        <f t="shared" si="0"/>
        <v>0</v>
      </c>
      <c r="R11" s="264"/>
      <c r="S11" s="265"/>
      <c r="T11" s="264"/>
      <c r="U11" s="264"/>
      <c r="V11" s="264"/>
      <c r="W11" s="266"/>
      <c r="X11" s="265"/>
      <c r="Y11" s="313"/>
      <c r="Z11" s="264"/>
    </row>
    <row r="12" spans="1:26" ht="27.95" customHeight="1">
      <c r="A12" s="129">
        <f t="shared" si="1"/>
        <v>44136</v>
      </c>
      <c r="B12" s="129">
        <f t="shared" si="2"/>
        <v>44165</v>
      </c>
      <c r="C12" s="112">
        <v>44136</v>
      </c>
      <c r="D12" s="264"/>
      <c r="E12" s="264"/>
      <c r="F12" s="264"/>
      <c r="G12" s="264"/>
      <c r="H12" s="264"/>
      <c r="I12" s="264"/>
      <c r="J12" s="264"/>
      <c r="K12" s="264"/>
      <c r="L12" s="264"/>
      <c r="M12" s="264"/>
      <c r="N12" s="264"/>
      <c r="O12" s="264"/>
      <c r="P12" s="264"/>
      <c r="Q12" s="113">
        <f t="shared" si="0"/>
        <v>0</v>
      </c>
      <c r="R12" s="264"/>
      <c r="S12" s="265"/>
      <c r="T12" s="264"/>
      <c r="U12" s="264"/>
      <c r="V12" s="264"/>
      <c r="W12" s="266"/>
      <c r="X12" s="265"/>
      <c r="Y12" s="313"/>
      <c r="Z12" s="264"/>
    </row>
    <row r="13" spans="1:26" ht="27.95" customHeight="1">
      <c r="A13" s="129">
        <f t="shared" si="1"/>
        <v>44166</v>
      </c>
      <c r="B13" s="129">
        <f t="shared" si="2"/>
        <v>44196</v>
      </c>
      <c r="C13" s="112">
        <v>44166</v>
      </c>
      <c r="D13" s="264"/>
      <c r="E13" s="264"/>
      <c r="F13" s="264"/>
      <c r="G13" s="264"/>
      <c r="H13" s="264"/>
      <c r="I13" s="264"/>
      <c r="J13" s="264"/>
      <c r="K13" s="264"/>
      <c r="L13" s="264"/>
      <c r="M13" s="264"/>
      <c r="N13" s="264"/>
      <c r="O13" s="264"/>
      <c r="P13" s="264"/>
      <c r="Q13" s="113">
        <f t="shared" si="0"/>
        <v>0</v>
      </c>
      <c r="R13" s="264"/>
      <c r="S13" s="265"/>
      <c r="T13" s="264"/>
      <c r="U13" s="264"/>
      <c r="V13" s="264"/>
      <c r="W13" s="266"/>
      <c r="X13" s="265"/>
      <c r="Y13" s="313"/>
      <c r="Z13" s="264"/>
    </row>
    <row r="14" spans="1:26" ht="27.95" customHeight="1">
      <c r="A14" s="129">
        <f t="shared" si="1"/>
        <v>44197</v>
      </c>
      <c r="B14" s="129">
        <f t="shared" si="2"/>
        <v>44227</v>
      </c>
      <c r="C14" s="112">
        <v>44197</v>
      </c>
      <c r="D14" s="264"/>
      <c r="E14" s="264"/>
      <c r="F14" s="264"/>
      <c r="G14" s="264"/>
      <c r="H14" s="264"/>
      <c r="I14" s="264"/>
      <c r="J14" s="264"/>
      <c r="K14" s="264"/>
      <c r="L14" s="264"/>
      <c r="M14" s="264"/>
      <c r="N14" s="264"/>
      <c r="O14" s="264"/>
      <c r="P14" s="264"/>
      <c r="Q14" s="113">
        <f t="shared" si="0"/>
        <v>0</v>
      </c>
      <c r="R14" s="264"/>
      <c r="S14" s="265"/>
      <c r="T14" s="264"/>
      <c r="U14" s="264"/>
      <c r="V14" s="264"/>
      <c r="W14" s="266"/>
      <c r="X14" s="265"/>
      <c r="Y14" s="313"/>
      <c r="Z14" s="264"/>
    </row>
    <row r="15" spans="1:26" ht="27.95" customHeight="1">
      <c r="A15" s="129">
        <f t="shared" si="1"/>
        <v>44228</v>
      </c>
      <c r="B15" s="129">
        <f t="shared" si="2"/>
        <v>44255</v>
      </c>
      <c r="C15" s="112">
        <v>44228</v>
      </c>
      <c r="D15" s="264"/>
      <c r="E15" s="264"/>
      <c r="F15" s="264"/>
      <c r="G15" s="264"/>
      <c r="H15" s="264"/>
      <c r="I15" s="264"/>
      <c r="J15" s="264"/>
      <c r="K15" s="264"/>
      <c r="L15" s="264"/>
      <c r="M15" s="264"/>
      <c r="N15" s="264"/>
      <c r="O15" s="264"/>
      <c r="P15" s="264"/>
      <c r="Q15" s="113">
        <f t="shared" si="0"/>
        <v>0</v>
      </c>
      <c r="R15" s="264"/>
      <c r="S15" s="265"/>
      <c r="T15" s="264"/>
      <c r="U15" s="264"/>
      <c r="V15" s="264"/>
      <c r="W15" s="266"/>
      <c r="X15" s="265"/>
      <c r="Y15" s="313"/>
      <c r="Z15" s="264"/>
    </row>
    <row r="16" spans="1:26" ht="27.95" customHeight="1">
      <c r="A16" s="129">
        <f t="shared" si="1"/>
        <v>44256</v>
      </c>
      <c r="B16" s="129">
        <f t="shared" si="2"/>
        <v>44286</v>
      </c>
      <c r="C16" s="112">
        <v>44256</v>
      </c>
      <c r="D16" s="264"/>
      <c r="E16" s="264"/>
      <c r="F16" s="264"/>
      <c r="G16" s="264"/>
      <c r="H16" s="264"/>
      <c r="I16" s="264"/>
      <c r="J16" s="264"/>
      <c r="K16" s="264"/>
      <c r="L16" s="264"/>
      <c r="M16" s="264"/>
      <c r="N16" s="264"/>
      <c r="O16" s="264"/>
      <c r="P16" s="264"/>
      <c r="Q16" s="113">
        <f t="shared" si="0"/>
        <v>0</v>
      </c>
      <c r="R16" s="264"/>
      <c r="S16" s="265"/>
      <c r="T16" s="264"/>
      <c r="U16" s="264"/>
      <c r="V16" s="264"/>
      <c r="W16" s="266"/>
      <c r="X16" s="265"/>
      <c r="Y16" s="313"/>
      <c r="Z16" s="264"/>
    </row>
    <row r="17" spans="1:26" s="335" customFormat="1" ht="39" hidden="1" customHeight="1">
      <c r="A17" s="129"/>
      <c r="B17" s="129"/>
      <c r="C17" s="336"/>
      <c r="D17" s="264"/>
      <c r="E17" s="264"/>
      <c r="F17" s="264"/>
      <c r="G17" s="264"/>
      <c r="H17" s="264"/>
      <c r="I17" s="264"/>
      <c r="J17" s="264"/>
      <c r="K17" s="264"/>
      <c r="L17" s="264"/>
      <c r="M17" s="264"/>
      <c r="N17" s="264"/>
      <c r="O17" s="264"/>
      <c r="P17" s="264"/>
      <c r="Q17" s="113">
        <f t="shared" ref="Q17" si="3">SUM(D17:N17)</f>
        <v>0</v>
      </c>
      <c r="R17" s="264"/>
      <c r="S17" s="265"/>
      <c r="T17" s="264"/>
      <c r="U17" s="264"/>
      <c r="V17" s="264"/>
      <c r="W17" s="266"/>
      <c r="X17" s="265"/>
      <c r="Y17" s="313"/>
      <c r="Z17" s="264"/>
    </row>
    <row r="18" spans="1:26" s="57" customFormat="1" ht="27.95" customHeight="1">
      <c r="C18" s="309" t="s">
        <v>26</v>
      </c>
      <c r="D18" s="310">
        <f t="shared" ref="D18:Z18" si="4">SUM(D5:D16)</f>
        <v>0</v>
      </c>
      <c r="E18" s="310">
        <f t="shared" si="4"/>
        <v>0</v>
      </c>
      <c r="F18" s="310">
        <f t="shared" si="4"/>
        <v>0</v>
      </c>
      <c r="G18" s="310">
        <f t="shared" si="4"/>
        <v>0</v>
      </c>
      <c r="H18" s="310">
        <f t="shared" si="4"/>
        <v>0</v>
      </c>
      <c r="I18" s="310">
        <f t="shared" si="4"/>
        <v>0</v>
      </c>
      <c r="J18" s="310">
        <f t="shared" si="4"/>
        <v>0</v>
      </c>
      <c r="K18" s="310">
        <f t="shared" si="4"/>
        <v>0</v>
      </c>
      <c r="L18" s="310">
        <f t="shared" si="4"/>
        <v>0</v>
      </c>
      <c r="M18" s="310">
        <f t="shared" si="4"/>
        <v>0</v>
      </c>
      <c r="N18" s="310">
        <f t="shared" si="4"/>
        <v>0</v>
      </c>
      <c r="O18" s="310">
        <f t="shared" si="4"/>
        <v>0</v>
      </c>
      <c r="P18" s="310">
        <f t="shared" si="4"/>
        <v>0</v>
      </c>
      <c r="Q18" s="306">
        <f>SUM(Q5:Q16)</f>
        <v>0</v>
      </c>
      <c r="R18" s="310">
        <f t="shared" si="4"/>
        <v>0</v>
      </c>
      <c r="S18" s="310">
        <f t="shared" si="4"/>
        <v>0</v>
      </c>
      <c r="T18" s="310">
        <f t="shared" si="4"/>
        <v>0</v>
      </c>
      <c r="U18" s="310">
        <f t="shared" si="4"/>
        <v>0</v>
      </c>
      <c r="V18" s="310">
        <f t="shared" si="4"/>
        <v>0</v>
      </c>
      <c r="W18" s="310">
        <f t="shared" si="4"/>
        <v>0</v>
      </c>
      <c r="X18" s="310">
        <f t="shared" si="4"/>
        <v>0</v>
      </c>
      <c r="Y18" s="310">
        <f t="shared" si="4"/>
        <v>0</v>
      </c>
      <c r="Z18" s="310">
        <f t="shared" si="4"/>
        <v>0</v>
      </c>
    </row>
    <row r="19" spans="1:26" ht="30" hidden="1" customHeight="1">
      <c r="C19" s="114" t="s">
        <v>502</v>
      </c>
      <c r="D19" s="115"/>
      <c r="E19" s="116"/>
      <c r="F19" s="116"/>
      <c r="G19" s="117"/>
      <c r="H19" s="118"/>
      <c r="I19" s="117"/>
      <c r="J19" s="116"/>
      <c r="K19" s="117"/>
      <c r="L19" s="116"/>
      <c r="M19" s="116"/>
      <c r="N19" s="116"/>
      <c r="O19" s="116"/>
      <c r="P19" s="116"/>
      <c r="Q19" s="119">
        <f>'Data for Relief US 89'!H15</f>
        <v>0</v>
      </c>
      <c r="R19" s="120"/>
      <c r="S19" s="116"/>
      <c r="T19" s="116"/>
      <c r="U19" s="116"/>
      <c r="V19" s="116"/>
      <c r="W19" s="116"/>
      <c r="X19" s="116"/>
      <c r="Y19" s="121"/>
      <c r="Z19" s="116"/>
    </row>
    <row r="20" spans="1:26" ht="18.75">
      <c r="C20" s="932" t="s">
        <v>775</v>
      </c>
      <c r="D20" s="933"/>
      <c r="E20" s="933"/>
      <c r="F20" s="933"/>
      <c r="G20" s="933"/>
      <c r="H20" s="933"/>
      <c r="I20" s="933"/>
      <c r="J20" s="933"/>
      <c r="K20" s="933"/>
      <c r="L20" s="933"/>
      <c r="M20" s="933"/>
      <c r="N20" s="933"/>
      <c r="O20" s="933"/>
      <c r="P20" s="933"/>
      <c r="Q20" s="933"/>
      <c r="R20" s="933"/>
      <c r="S20" s="933"/>
      <c r="T20" s="933"/>
      <c r="U20" s="933"/>
      <c r="V20" s="933"/>
      <c r="W20" s="933"/>
      <c r="X20" s="933"/>
      <c r="Y20" s="933"/>
      <c r="Z20" s="933"/>
    </row>
    <row r="21" spans="1:26" s="186" customFormat="1">
      <c r="C21" s="907" t="s">
        <v>770</v>
      </c>
      <c r="D21" s="907"/>
      <c r="E21" s="907"/>
      <c r="F21" s="907"/>
      <c r="G21" s="907"/>
      <c r="H21" s="907"/>
      <c r="I21" s="907"/>
      <c r="J21" s="907"/>
      <c r="K21" s="907"/>
      <c r="M21" s="281"/>
      <c r="N21" s="311"/>
      <c r="O21" s="340"/>
      <c r="P21" s="340"/>
    </row>
    <row r="22" spans="1:26" s="186" customFormat="1" ht="36" customHeight="1">
      <c r="C22" s="930" t="s">
        <v>580</v>
      </c>
      <c r="D22" s="930"/>
      <c r="E22" s="930"/>
      <c r="F22" s="930"/>
      <c r="G22" s="930"/>
      <c r="H22" s="930"/>
      <c r="I22" s="930"/>
      <c r="J22" s="930"/>
      <c r="K22" s="930"/>
      <c r="L22" s="99"/>
      <c r="M22" s="99"/>
      <c r="N22" s="99"/>
      <c r="O22" s="99"/>
      <c r="P22" s="99"/>
      <c r="Q22" s="918" t="s">
        <v>526</v>
      </c>
      <c r="R22" s="918"/>
      <c r="S22" s="918"/>
      <c r="T22" s="918"/>
      <c r="U22" s="918"/>
      <c r="V22" s="918"/>
      <c r="W22" s="918"/>
      <c r="X22" s="918"/>
      <c r="Y22" s="918"/>
      <c r="Z22" s="918"/>
    </row>
    <row r="23" spans="1:26" s="186" customFormat="1" ht="33.75" customHeight="1">
      <c r="C23" s="931" t="s">
        <v>771</v>
      </c>
      <c r="D23" s="931"/>
      <c r="E23" s="931"/>
      <c r="F23" s="931"/>
      <c r="G23" s="931"/>
      <c r="H23" s="931"/>
      <c r="I23" s="931"/>
      <c r="J23" s="931"/>
      <c r="K23" s="931"/>
      <c r="L23" s="100"/>
      <c r="M23" s="100"/>
      <c r="N23" s="100"/>
      <c r="O23" s="100"/>
      <c r="P23" s="100"/>
      <c r="Q23" s="936"/>
      <c r="R23" s="936"/>
      <c r="S23" s="937" t="s">
        <v>774</v>
      </c>
      <c r="T23" s="937"/>
      <c r="U23" s="937"/>
      <c r="V23" s="937"/>
      <c r="W23" s="900" t="s">
        <v>529</v>
      </c>
      <c r="X23" s="900"/>
      <c r="Y23" s="900" t="s">
        <v>530</v>
      </c>
      <c r="Z23" s="900"/>
    </row>
    <row r="24" spans="1:26" s="186" customFormat="1" ht="16.5" hidden="1" customHeight="1">
      <c r="C24" s="919"/>
      <c r="D24" s="919"/>
      <c r="E24" s="919"/>
      <c r="F24" s="919"/>
      <c r="G24" s="919"/>
      <c r="H24" s="919"/>
      <c r="I24" s="919"/>
      <c r="J24" s="919"/>
      <c r="K24" s="919"/>
      <c r="M24" s="281"/>
      <c r="N24" s="311"/>
      <c r="O24" s="340"/>
      <c r="P24" s="340"/>
      <c r="Q24" s="936"/>
      <c r="R24" s="936"/>
      <c r="S24" s="937"/>
      <c r="T24" s="937"/>
      <c r="U24" s="937"/>
      <c r="V24" s="937"/>
      <c r="W24" s="900"/>
      <c r="X24" s="900"/>
      <c r="Y24" s="900"/>
      <c r="Z24" s="900"/>
    </row>
    <row r="25" spans="1:26" s="186" customFormat="1" ht="49.5" customHeight="1">
      <c r="C25" s="185" t="s">
        <v>89</v>
      </c>
      <c r="D25" s="894" t="s">
        <v>772</v>
      </c>
      <c r="E25" s="894"/>
      <c r="F25" s="894" t="s">
        <v>584</v>
      </c>
      <c r="G25" s="894"/>
      <c r="H25" s="894" t="s">
        <v>585</v>
      </c>
      <c r="I25" s="894"/>
      <c r="J25" s="894" t="s">
        <v>773</v>
      </c>
      <c r="K25" s="894"/>
      <c r="L25" s="186" t="s">
        <v>527</v>
      </c>
      <c r="M25" s="281"/>
      <c r="N25" s="311"/>
      <c r="O25" s="340"/>
      <c r="P25" s="340"/>
      <c r="Q25" s="936"/>
      <c r="R25" s="936"/>
      <c r="S25" s="937"/>
      <c r="T25" s="937"/>
      <c r="U25" s="937"/>
      <c r="V25" s="937"/>
      <c r="W25" s="900"/>
      <c r="X25" s="900"/>
      <c r="Y25" s="900"/>
      <c r="Z25" s="900"/>
    </row>
    <row r="26" spans="1:26" s="186" customFormat="1" ht="16.5" customHeight="1">
      <c r="C26" s="101">
        <v>1</v>
      </c>
      <c r="D26" s="895">
        <f>Y5</f>
        <v>0</v>
      </c>
      <c r="E26" s="895"/>
      <c r="F26" s="896"/>
      <c r="G26" s="896"/>
      <c r="H26" s="897"/>
      <c r="I26" s="897"/>
      <c r="J26" s="898"/>
      <c r="K26" s="898"/>
      <c r="L26" s="186" t="str">
        <f>IF(H26="","",IF(H26&lt;$Q$46,"Check date",IF(AND((H26)&gt;=$Q$46,(H26)&lt;=$R$46),1,IF(AND((H26)&gt;=$Q$47,(H26)&lt;=$R$47),2,IF(AND((H26)&gt;=$Q$48,(H26)&lt;=$R$48),3,IF(AND((H26)&gt;=$Q$49,H26&lt;=$R$49),4))))))</f>
        <v/>
      </c>
      <c r="M26" s="281"/>
      <c r="N26" s="311"/>
      <c r="O26" s="340"/>
      <c r="P26" s="340"/>
      <c r="Q26" s="929" t="s">
        <v>1132</v>
      </c>
      <c r="R26" s="929"/>
      <c r="S26" s="920"/>
      <c r="T26" s="921"/>
      <c r="U26" s="921"/>
      <c r="V26" s="922"/>
      <c r="W26" s="901">
        <f>SUM(Y5:Y7)</f>
        <v>0</v>
      </c>
      <c r="X26" s="902"/>
      <c r="Y26" s="901">
        <f>SUMIF($L$26:$L$42,1,$D$26:$E$42)</f>
        <v>0</v>
      </c>
      <c r="Z26" s="902"/>
    </row>
    <row r="27" spans="1:26" s="186" customFormat="1">
      <c r="C27" s="101">
        <v>2</v>
      </c>
      <c r="D27" s="895">
        <f t="shared" ref="D27:D37" si="5">Y6</f>
        <v>0</v>
      </c>
      <c r="E27" s="895"/>
      <c r="F27" s="896"/>
      <c r="G27" s="896"/>
      <c r="H27" s="897"/>
      <c r="I27" s="897"/>
      <c r="J27" s="898"/>
      <c r="K27" s="898"/>
      <c r="L27" s="186" t="str">
        <f t="shared" ref="L27:L42" si="6">IF(H27="","",IF(H27&lt;$Q$46,"Check date",IF(AND((H27)&gt;=$Q$46,(H27)&lt;=$R$46),1,IF(AND((H27)&gt;=$Q$47,(H27)&lt;=$R$47),2,IF(AND((H27)&gt;=$Q$48,(H27)&lt;=$R$48),3,IF(AND((H27)&gt;=$Q$49,H27&lt;=$R$49),4))))))</f>
        <v/>
      </c>
      <c r="M27" s="281"/>
      <c r="N27" s="311"/>
      <c r="O27" s="340"/>
      <c r="P27" s="340"/>
      <c r="Q27" s="929"/>
      <c r="R27" s="929"/>
      <c r="S27" s="923"/>
      <c r="T27" s="924"/>
      <c r="U27" s="924"/>
      <c r="V27" s="925"/>
      <c r="W27" s="903"/>
      <c r="X27" s="904"/>
      <c r="Y27" s="903"/>
      <c r="Z27" s="904"/>
    </row>
    <row r="28" spans="1:26" s="186" customFormat="1">
      <c r="C28" s="101">
        <v>3</v>
      </c>
      <c r="D28" s="895">
        <f t="shared" si="5"/>
        <v>0</v>
      </c>
      <c r="E28" s="895"/>
      <c r="F28" s="896"/>
      <c r="G28" s="896"/>
      <c r="H28" s="897"/>
      <c r="I28" s="897"/>
      <c r="J28" s="898"/>
      <c r="K28" s="898"/>
      <c r="L28" s="186" t="str">
        <f t="shared" si="6"/>
        <v/>
      </c>
      <c r="M28" s="281"/>
      <c r="N28" s="311"/>
      <c r="O28" s="340"/>
      <c r="P28" s="340"/>
      <c r="Q28" s="929"/>
      <c r="R28" s="929"/>
      <c r="S28" s="926"/>
      <c r="T28" s="927"/>
      <c r="U28" s="927"/>
      <c r="V28" s="928"/>
      <c r="W28" s="905"/>
      <c r="X28" s="906"/>
      <c r="Y28" s="905"/>
      <c r="Z28" s="906"/>
    </row>
    <row r="29" spans="1:26" s="186" customFormat="1">
      <c r="C29" s="101">
        <v>4</v>
      </c>
      <c r="D29" s="895">
        <f t="shared" si="5"/>
        <v>0</v>
      </c>
      <c r="E29" s="895"/>
      <c r="F29" s="896"/>
      <c r="G29" s="896"/>
      <c r="H29" s="897"/>
      <c r="I29" s="897"/>
      <c r="J29" s="898"/>
      <c r="K29" s="898"/>
      <c r="L29" s="186" t="str">
        <f t="shared" si="6"/>
        <v/>
      </c>
      <c r="M29" s="281"/>
      <c r="N29" s="311"/>
      <c r="O29" s="340"/>
      <c r="P29" s="340"/>
      <c r="Q29" s="929" t="s">
        <v>1133</v>
      </c>
      <c r="R29" s="929"/>
      <c r="S29" s="898"/>
      <c r="T29" s="898"/>
      <c r="U29" s="898"/>
      <c r="V29" s="898"/>
      <c r="W29" s="901">
        <f>SUM(Y8:Y10)</f>
        <v>0</v>
      </c>
      <c r="X29" s="902"/>
      <c r="Y29" s="901">
        <f>SUMIF($L$26:$L$42,2,$D$26:$E$42)</f>
        <v>0</v>
      </c>
      <c r="Z29" s="902"/>
    </row>
    <row r="30" spans="1:26" s="186" customFormat="1">
      <c r="C30" s="101">
        <v>5</v>
      </c>
      <c r="D30" s="895">
        <f t="shared" si="5"/>
        <v>0</v>
      </c>
      <c r="E30" s="895"/>
      <c r="F30" s="896"/>
      <c r="G30" s="896"/>
      <c r="H30" s="897"/>
      <c r="I30" s="897"/>
      <c r="J30" s="898"/>
      <c r="K30" s="898"/>
      <c r="L30" s="186" t="str">
        <f t="shared" si="6"/>
        <v/>
      </c>
      <c r="M30" s="281"/>
      <c r="N30" s="311"/>
      <c r="O30" s="340"/>
      <c r="P30" s="340"/>
      <c r="Q30" s="929"/>
      <c r="R30" s="929"/>
      <c r="S30" s="898"/>
      <c r="T30" s="898"/>
      <c r="U30" s="898"/>
      <c r="V30" s="898"/>
      <c r="W30" s="903"/>
      <c r="X30" s="904"/>
      <c r="Y30" s="903"/>
      <c r="Z30" s="904"/>
    </row>
    <row r="31" spans="1:26" s="186" customFormat="1">
      <c r="C31" s="101">
        <v>6</v>
      </c>
      <c r="D31" s="895">
        <f t="shared" si="5"/>
        <v>0</v>
      </c>
      <c r="E31" s="895"/>
      <c r="F31" s="896"/>
      <c r="G31" s="896"/>
      <c r="H31" s="897"/>
      <c r="I31" s="897"/>
      <c r="J31" s="898"/>
      <c r="K31" s="898"/>
      <c r="L31" s="186" t="str">
        <f t="shared" si="6"/>
        <v/>
      </c>
      <c r="M31" s="281"/>
      <c r="N31" s="311"/>
      <c r="O31" s="340"/>
      <c r="P31" s="340"/>
      <c r="Q31" s="929"/>
      <c r="R31" s="929"/>
      <c r="S31" s="898"/>
      <c r="T31" s="898"/>
      <c r="U31" s="898"/>
      <c r="V31" s="898"/>
      <c r="W31" s="905"/>
      <c r="X31" s="906"/>
      <c r="Y31" s="905"/>
      <c r="Z31" s="906"/>
    </row>
    <row r="32" spans="1:26" s="186" customFormat="1">
      <c r="C32" s="101">
        <v>7</v>
      </c>
      <c r="D32" s="895">
        <f t="shared" si="5"/>
        <v>0</v>
      </c>
      <c r="E32" s="895"/>
      <c r="F32" s="896"/>
      <c r="G32" s="896"/>
      <c r="H32" s="897"/>
      <c r="I32" s="897"/>
      <c r="J32" s="898"/>
      <c r="K32" s="898"/>
      <c r="L32" s="186" t="str">
        <f t="shared" si="6"/>
        <v/>
      </c>
      <c r="M32" s="281"/>
      <c r="N32" s="311"/>
      <c r="O32" s="340"/>
      <c r="P32" s="340"/>
      <c r="Q32" s="929" t="s">
        <v>1134</v>
      </c>
      <c r="R32" s="929"/>
      <c r="S32" s="898"/>
      <c r="T32" s="898"/>
      <c r="U32" s="898"/>
      <c r="V32" s="898"/>
      <c r="W32" s="901">
        <f>SUM(Y11:Y13)</f>
        <v>0</v>
      </c>
      <c r="X32" s="902"/>
      <c r="Y32" s="901">
        <f>SUMIF($L$26:$L$42,3,$D$26:$E$42)</f>
        <v>0</v>
      </c>
      <c r="Z32" s="902"/>
    </row>
    <row r="33" spans="3:26" s="186" customFormat="1">
      <c r="C33" s="101">
        <v>8</v>
      </c>
      <c r="D33" s="895">
        <f t="shared" si="5"/>
        <v>0</v>
      </c>
      <c r="E33" s="895"/>
      <c r="F33" s="896"/>
      <c r="G33" s="896"/>
      <c r="H33" s="897"/>
      <c r="I33" s="897"/>
      <c r="J33" s="898"/>
      <c r="K33" s="898"/>
      <c r="L33" s="186" t="str">
        <f t="shared" si="6"/>
        <v/>
      </c>
      <c r="M33" s="281"/>
      <c r="N33" s="311"/>
      <c r="O33" s="340"/>
      <c r="P33" s="340"/>
      <c r="Q33" s="929"/>
      <c r="R33" s="929"/>
      <c r="S33" s="898"/>
      <c r="T33" s="898"/>
      <c r="U33" s="898"/>
      <c r="V33" s="898"/>
      <c r="W33" s="903"/>
      <c r="X33" s="904"/>
      <c r="Y33" s="903"/>
      <c r="Z33" s="904"/>
    </row>
    <row r="34" spans="3:26" s="186" customFormat="1">
      <c r="C34" s="101">
        <v>9</v>
      </c>
      <c r="D34" s="895">
        <f t="shared" si="5"/>
        <v>0</v>
      </c>
      <c r="E34" s="895"/>
      <c r="F34" s="896"/>
      <c r="G34" s="896"/>
      <c r="H34" s="897"/>
      <c r="I34" s="897"/>
      <c r="J34" s="898"/>
      <c r="K34" s="898"/>
      <c r="L34" s="186" t="str">
        <f t="shared" si="6"/>
        <v/>
      </c>
      <c r="M34" s="281"/>
      <c r="N34" s="311"/>
      <c r="O34" s="340"/>
      <c r="P34" s="340"/>
      <c r="Q34" s="929"/>
      <c r="R34" s="929"/>
      <c r="S34" s="898"/>
      <c r="T34" s="898"/>
      <c r="U34" s="898"/>
      <c r="V34" s="898"/>
      <c r="W34" s="905"/>
      <c r="X34" s="906"/>
      <c r="Y34" s="905"/>
      <c r="Z34" s="906"/>
    </row>
    <row r="35" spans="3:26" s="186" customFormat="1">
      <c r="C35" s="101">
        <v>10</v>
      </c>
      <c r="D35" s="895">
        <f t="shared" si="5"/>
        <v>0</v>
      </c>
      <c r="E35" s="895"/>
      <c r="F35" s="896"/>
      <c r="G35" s="896"/>
      <c r="H35" s="897"/>
      <c r="I35" s="897"/>
      <c r="J35" s="898"/>
      <c r="K35" s="898"/>
      <c r="L35" s="186" t="str">
        <f t="shared" si="6"/>
        <v/>
      </c>
      <c r="M35" s="281"/>
      <c r="N35" s="311"/>
      <c r="O35" s="340"/>
      <c r="P35" s="340"/>
      <c r="Q35" s="929" t="s">
        <v>1135</v>
      </c>
      <c r="R35" s="929"/>
      <c r="S35" s="898"/>
      <c r="T35" s="898"/>
      <c r="U35" s="898"/>
      <c r="V35" s="898"/>
      <c r="W35" s="901">
        <f>SUM(Y14:Y16)</f>
        <v>0</v>
      </c>
      <c r="X35" s="902"/>
      <c r="Y35" s="901">
        <f>SUMIF($L$26:$L$42,4,$D$26:$E$42)</f>
        <v>0</v>
      </c>
      <c r="Z35" s="902"/>
    </row>
    <row r="36" spans="3:26" s="186" customFormat="1" ht="16.5" customHeight="1">
      <c r="C36" s="101">
        <v>11</v>
      </c>
      <c r="D36" s="895">
        <f t="shared" si="5"/>
        <v>0</v>
      </c>
      <c r="E36" s="895"/>
      <c r="F36" s="896"/>
      <c r="G36" s="896"/>
      <c r="H36" s="897"/>
      <c r="I36" s="897"/>
      <c r="J36" s="898"/>
      <c r="K36" s="898"/>
      <c r="L36" s="186" t="str">
        <f t="shared" si="6"/>
        <v/>
      </c>
      <c r="M36" s="281"/>
      <c r="N36" s="311"/>
      <c r="O36" s="340"/>
      <c r="P36" s="340"/>
      <c r="Q36" s="929"/>
      <c r="R36" s="929"/>
      <c r="S36" s="898"/>
      <c r="T36" s="898"/>
      <c r="U36" s="898"/>
      <c r="V36" s="898"/>
      <c r="W36" s="903"/>
      <c r="X36" s="904"/>
      <c r="Y36" s="903"/>
      <c r="Z36" s="904"/>
    </row>
    <row r="37" spans="3:26" s="186" customFormat="1">
      <c r="C37" s="101">
        <v>12</v>
      </c>
      <c r="D37" s="895">
        <f t="shared" si="5"/>
        <v>0</v>
      </c>
      <c r="E37" s="895"/>
      <c r="F37" s="899"/>
      <c r="G37" s="899"/>
      <c r="H37" s="897"/>
      <c r="I37" s="897"/>
      <c r="J37" s="898"/>
      <c r="K37" s="898"/>
      <c r="L37" s="186" t="str">
        <f t="shared" si="6"/>
        <v/>
      </c>
      <c r="M37" s="281"/>
      <c r="N37" s="311"/>
      <c r="O37" s="340"/>
      <c r="P37" s="340"/>
      <c r="Q37" s="929"/>
      <c r="R37" s="929"/>
      <c r="S37" s="898"/>
      <c r="T37" s="898"/>
      <c r="U37" s="898"/>
      <c r="V37" s="898"/>
      <c r="W37" s="905"/>
      <c r="X37" s="906"/>
      <c r="Y37" s="905"/>
      <c r="Z37" s="906"/>
    </row>
    <row r="38" spans="3:26" s="186" customFormat="1">
      <c r="C38" s="101">
        <v>13</v>
      </c>
      <c r="D38" s="935"/>
      <c r="E38" s="935"/>
      <c r="F38" s="899"/>
      <c r="G38" s="899"/>
      <c r="H38" s="897"/>
      <c r="I38" s="897"/>
      <c r="J38" s="898"/>
      <c r="K38" s="898"/>
      <c r="L38" s="186" t="str">
        <f t="shared" si="6"/>
        <v/>
      </c>
      <c r="M38" s="281"/>
      <c r="N38" s="311"/>
      <c r="O38" s="340"/>
      <c r="P38" s="340"/>
      <c r="Q38" s="910" t="s">
        <v>1072</v>
      </c>
      <c r="R38" s="910"/>
      <c r="S38" s="911"/>
      <c r="T38" s="911"/>
      <c r="U38" s="911"/>
      <c r="V38" s="911"/>
      <c r="W38" s="912">
        <f>SUM(W26:X37)</f>
        <v>0</v>
      </c>
      <c r="X38" s="913"/>
      <c r="Y38" s="912">
        <f>SUM(Y26:Z37)</f>
        <v>0</v>
      </c>
      <c r="Z38" s="913"/>
    </row>
    <row r="39" spans="3:26" s="186" customFormat="1">
      <c r="C39" s="101">
        <v>14</v>
      </c>
      <c r="D39" s="935"/>
      <c r="E39" s="935"/>
      <c r="F39" s="899"/>
      <c r="G39" s="899"/>
      <c r="H39" s="897"/>
      <c r="I39" s="897"/>
      <c r="J39" s="898"/>
      <c r="K39" s="898"/>
      <c r="L39" s="186" t="str">
        <f t="shared" si="6"/>
        <v/>
      </c>
      <c r="M39" s="281"/>
      <c r="N39" s="311"/>
      <c r="O39" s="340"/>
      <c r="P39" s="340"/>
      <c r="Q39" s="910"/>
      <c r="R39" s="910"/>
      <c r="S39" s="911"/>
      <c r="T39" s="911"/>
      <c r="U39" s="911"/>
      <c r="V39" s="911"/>
      <c r="W39" s="914"/>
      <c r="X39" s="915"/>
      <c r="Y39" s="914"/>
      <c r="Z39" s="915"/>
    </row>
    <row r="40" spans="3:26" s="186" customFormat="1">
      <c r="C40" s="101">
        <v>15</v>
      </c>
      <c r="D40" s="935"/>
      <c r="E40" s="935"/>
      <c r="F40" s="899"/>
      <c r="G40" s="899"/>
      <c r="H40" s="897"/>
      <c r="I40" s="897"/>
      <c r="J40" s="898"/>
      <c r="K40" s="898"/>
      <c r="L40" s="186" t="str">
        <f t="shared" si="6"/>
        <v/>
      </c>
      <c r="M40" s="281"/>
      <c r="N40" s="311"/>
      <c r="O40" s="340"/>
      <c r="P40" s="340"/>
      <c r="Q40" s="910"/>
      <c r="R40" s="910"/>
      <c r="S40" s="911"/>
      <c r="T40" s="911"/>
      <c r="U40" s="911"/>
      <c r="V40" s="911"/>
      <c r="W40" s="916"/>
      <c r="X40" s="917"/>
      <c r="Y40" s="916"/>
      <c r="Z40" s="917"/>
    </row>
    <row r="41" spans="3:26" s="186" customFormat="1">
      <c r="C41" s="101">
        <v>16</v>
      </c>
      <c r="D41" s="935"/>
      <c r="E41" s="935"/>
      <c r="F41" s="899"/>
      <c r="G41" s="899"/>
      <c r="H41" s="897"/>
      <c r="I41" s="897"/>
      <c r="J41" s="898"/>
      <c r="K41" s="898"/>
      <c r="L41" s="186" t="str">
        <f t="shared" si="6"/>
        <v/>
      </c>
      <c r="M41" s="281"/>
      <c r="N41" s="311"/>
      <c r="O41" s="340"/>
      <c r="P41" s="340"/>
      <c r="Q41" s="98"/>
      <c r="R41" s="98"/>
    </row>
    <row r="42" spans="3:26" s="186" customFormat="1">
      <c r="C42" s="101">
        <v>17</v>
      </c>
      <c r="D42" s="935"/>
      <c r="E42" s="935"/>
      <c r="F42" s="899"/>
      <c r="G42" s="899"/>
      <c r="H42" s="897"/>
      <c r="I42" s="897"/>
      <c r="J42" s="898"/>
      <c r="K42" s="898"/>
      <c r="L42" s="186" t="str">
        <f t="shared" si="6"/>
        <v/>
      </c>
      <c r="M42" s="281"/>
      <c r="N42" s="311"/>
      <c r="O42" s="340"/>
      <c r="P42" s="340"/>
      <c r="Q42" s="98"/>
      <c r="R42" s="98"/>
    </row>
    <row r="43" spans="3:26" s="186" customFormat="1">
      <c r="C43" s="122" t="s">
        <v>26</v>
      </c>
      <c r="D43" s="934">
        <f>SUM(D26:E42)</f>
        <v>0</v>
      </c>
      <c r="E43" s="934"/>
      <c r="F43" s="938"/>
      <c r="G43" s="938"/>
      <c r="H43" s="939"/>
      <c r="I43" s="939"/>
      <c r="J43" s="938"/>
      <c r="K43" s="938"/>
      <c r="M43" s="281"/>
      <c r="N43" s="311"/>
      <c r="O43" s="340"/>
      <c r="P43" s="340"/>
      <c r="Q43" s="98"/>
      <c r="R43" s="98"/>
    </row>
    <row r="44" spans="3:26" s="186" customFormat="1" hidden="1">
      <c r="G44" s="97"/>
      <c r="I44" s="97"/>
      <c r="K44" s="97"/>
      <c r="L44" s="919" t="s">
        <v>939</v>
      </c>
      <c r="M44" s="919"/>
      <c r="N44" s="919"/>
      <c r="O44" s="919"/>
      <c r="P44" s="919"/>
      <c r="Q44" s="919"/>
      <c r="R44" s="919"/>
    </row>
    <row r="45" spans="3:26" s="186" customFormat="1" hidden="1">
      <c r="G45" s="97"/>
      <c r="I45" s="97"/>
      <c r="K45" s="97"/>
      <c r="M45" s="281"/>
      <c r="N45" s="311"/>
      <c r="O45" s="340"/>
      <c r="P45" s="340"/>
      <c r="Q45" s="98" t="s">
        <v>937</v>
      </c>
      <c r="R45" s="98" t="s">
        <v>938</v>
      </c>
    </row>
    <row r="46" spans="3:26" s="186" customFormat="1" hidden="1">
      <c r="G46" s="97"/>
      <c r="I46" s="97"/>
      <c r="K46" s="97"/>
      <c r="L46" s="186" t="s">
        <v>531</v>
      </c>
      <c r="M46" s="281"/>
      <c r="N46" s="311"/>
      <c r="O46" s="340"/>
      <c r="P46" s="340"/>
      <c r="Q46" s="263">
        <v>43922</v>
      </c>
      <c r="R46" s="263">
        <v>44027</v>
      </c>
    </row>
    <row r="47" spans="3:26" s="186" customFormat="1" hidden="1">
      <c r="G47" s="97"/>
      <c r="I47" s="97"/>
      <c r="K47" s="97"/>
      <c r="L47" s="186" t="s">
        <v>532</v>
      </c>
      <c r="M47" s="281"/>
      <c r="N47" s="311"/>
      <c r="O47" s="340"/>
      <c r="P47" s="340"/>
      <c r="Q47" s="263">
        <v>44013</v>
      </c>
      <c r="R47" s="263">
        <v>44119</v>
      </c>
    </row>
    <row r="48" spans="3:26" s="186" customFormat="1" hidden="1">
      <c r="G48" s="97"/>
      <c r="I48" s="97"/>
      <c r="K48" s="97"/>
      <c r="L48" s="186" t="s">
        <v>533</v>
      </c>
      <c r="M48" s="281"/>
      <c r="N48" s="311"/>
      <c r="O48" s="340"/>
      <c r="P48" s="340"/>
      <c r="Q48" s="263">
        <v>44105</v>
      </c>
      <c r="R48" s="263">
        <v>44211</v>
      </c>
    </row>
    <row r="49" spans="7:18" s="186" customFormat="1" hidden="1">
      <c r="G49" s="97"/>
      <c r="I49" s="97"/>
      <c r="K49" s="97"/>
      <c r="L49" s="186" t="s">
        <v>534</v>
      </c>
      <c r="M49" s="281"/>
      <c r="N49" s="311"/>
      <c r="O49" s="340"/>
      <c r="P49" s="340"/>
      <c r="Q49" s="263">
        <v>44197</v>
      </c>
      <c r="R49" s="263">
        <v>44331</v>
      </c>
    </row>
    <row r="50" spans="7:18" s="186" customFormat="1">
      <c r="G50" s="97"/>
      <c r="I50" s="97"/>
      <c r="K50" s="97"/>
      <c r="M50" s="281"/>
      <c r="N50" s="311"/>
      <c r="O50" s="340"/>
      <c r="P50" s="340"/>
      <c r="Q50" s="98"/>
      <c r="R50" s="98"/>
    </row>
    <row r="51" spans="7:18" s="186" customFormat="1">
      <c r="G51" s="97"/>
      <c r="I51" s="97"/>
      <c r="K51" s="97"/>
      <c r="M51" s="281"/>
      <c r="N51" s="311"/>
      <c r="O51" s="340"/>
      <c r="P51" s="340"/>
      <c r="Q51" s="98"/>
      <c r="R51" s="98"/>
    </row>
    <row r="52" spans="7:18" s="186" customFormat="1">
      <c r="G52" s="97"/>
      <c r="I52" s="97"/>
      <c r="K52" s="97"/>
      <c r="M52" s="281"/>
      <c r="N52" s="311"/>
      <c r="O52" s="340"/>
      <c r="P52" s="340"/>
      <c r="Q52" s="98"/>
      <c r="R52" s="98"/>
    </row>
    <row r="53" spans="7:18" s="186" customFormat="1">
      <c r="G53" s="97"/>
      <c r="I53" s="97"/>
      <c r="K53" s="97"/>
      <c r="M53" s="281"/>
      <c r="N53" s="311"/>
      <c r="O53" s="340"/>
      <c r="P53" s="340"/>
      <c r="Q53" s="98"/>
      <c r="R53" s="98"/>
    </row>
    <row r="54" spans="7:18" s="186" customFormat="1">
      <c r="G54" s="97"/>
      <c r="I54" s="97"/>
      <c r="K54" s="97"/>
      <c r="M54" s="281"/>
      <c r="N54" s="311"/>
      <c r="O54" s="340"/>
      <c r="P54" s="340"/>
      <c r="Q54" s="98"/>
      <c r="R54" s="98"/>
    </row>
    <row r="55" spans="7:18" s="186" customFormat="1">
      <c r="G55" s="97"/>
      <c r="I55" s="97"/>
      <c r="K55" s="97"/>
      <c r="M55" s="281"/>
      <c r="N55" s="311"/>
      <c r="O55" s="340"/>
      <c r="P55" s="340"/>
      <c r="Q55" s="98"/>
      <c r="R55" s="98"/>
    </row>
    <row r="56" spans="7:18" s="186" customFormat="1">
      <c r="G56" s="97"/>
      <c r="I56" s="97"/>
      <c r="K56" s="97"/>
      <c r="M56" s="281"/>
      <c r="N56" s="311"/>
      <c r="O56" s="340"/>
      <c r="P56" s="340"/>
      <c r="Q56" s="98"/>
      <c r="R56" s="98"/>
    </row>
    <row r="57" spans="7:18" s="186" customFormat="1">
      <c r="G57" s="97"/>
      <c r="I57" s="97"/>
      <c r="K57" s="97"/>
      <c r="M57" s="281"/>
      <c r="N57" s="311"/>
      <c r="O57" s="340"/>
      <c r="P57" s="340"/>
      <c r="Q57" s="98"/>
      <c r="R57" s="98"/>
    </row>
    <row r="58" spans="7:18" s="186" customFormat="1">
      <c r="G58" s="97"/>
      <c r="I58" s="97"/>
      <c r="K58" s="97"/>
      <c r="M58" s="281"/>
      <c r="N58" s="311"/>
      <c r="O58" s="340"/>
      <c r="P58" s="340"/>
      <c r="Q58" s="98"/>
      <c r="R58" s="98"/>
    </row>
    <row r="59" spans="7:18" s="186" customFormat="1">
      <c r="G59" s="97"/>
      <c r="I59" s="97"/>
      <c r="K59" s="97"/>
      <c r="M59" s="281"/>
      <c r="N59" s="311"/>
      <c r="O59" s="340"/>
      <c r="P59" s="340"/>
      <c r="Q59" s="98"/>
      <c r="R59" s="98"/>
    </row>
    <row r="60" spans="7:18" s="186" customFormat="1">
      <c r="G60" s="97"/>
      <c r="I60" s="97"/>
      <c r="K60" s="97"/>
      <c r="M60" s="281"/>
      <c r="N60" s="311"/>
      <c r="O60" s="340"/>
      <c r="P60" s="340"/>
      <c r="Q60" s="98"/>
      <c r="R60" s="98"/>
    </row>
    <row r="61" spans="7:18" s="186" customFormat="1">
      <c r="G61" s="97"/>
      <c r="I61" s="97"/>
      <c r="K61" s="97"/>
      <c r="M61" s="281"/>
      <c r="N61" s="311"/>
      <c r="O61" s="340"/>
      <c r="P61" s="340"/>
      <c r="Q61" s="98"/>
      <c r="R61" s="98"/>
    </row>
    <row r="62" spans="7:18" s="186" customFormat="1">
      <c r="G62" s="97"/>
      <c r="I62" s="97"/>
      <c r="K62" s="97"/>
      <c r="M62" s="281"/>
      <c r="N62" s="311"/>
      <c r="O62" s="340"/>
      <c r="P62" s="340"/>
      <c r="Q62" s="98"/>
      <c r="R62" s="98"/>
    </row>
    <row r="63" spans="7:18" s="186" customFormat="1">
      <c r="G63" s="97"/>
      <c r="I63" s="97"/>
      <c r="K63" s="97"/>
      <c r="M63" s="281"/>
      <c r="N63" s="311"/>
      <c r="O63" s="340"/>
      <c r="P63" s="340"/>
      <c r="Q63" s="98"/>
      <c r="R63" s="98"/>
    </row>
    <row r="64" spans="7:18" s="186" customFormat="1">
      <c r="G64" s="97"/>
      <c r="I64" s="97"/>
      <c r="K64" s="97"/>
      <c r="M64" s="281"/>
      <c r="N64" s="311"/>
      <c r="O64" s="340"/>
      <c r="P64" s="340"/>
      <c r="Q64" s="98"/>
      <c r="R64" s="98"/>
    </row>
    <row r="65" spans="7:18" s="186" customFormat="1">
      <c r="G65" s="97"/>
      <c r="I65" s="97"/>
      <c r="K65" s="97"/>
      <c r="M65" s="281"/>
      <c r="N65" s="311"/>
      <c r="O65" s="340"/>
      <c r="P65" s="340"/>
      <c r="Q65" s="98"/>
      <c r="R65" s="98"/>
    </row>
    <row r="66" spans="7:18" s="186" customFormat="1">
      <c r="G66" s="97"/>
      <c r="I66" s="97"/>
      <c r="K66" s="97"/>
      <c r="M66" s="281"/>
      <c r="N66" s="311"/>
      <c r="O66" s="340"/>
      <c r="P66" s="340"/>
      <c r="Q66" s="98"/>
      <c r="R66" s="98"/>
    </row>
    <row r="67" spans="7:18" s="186" customFormat="1">
      <c r="G67" s="97"/>
      <c r="I67" s="97"/>
      <c r="K67" s="97"/>
      <c r="M67" s="281"/>
      <c r="N67" s="311"/>
      <c r="O67" s="340"/>
      <c r="P67" s="340"/>
      <c r="Q67" s="98"/>
      <c r="R67" s="98"/>
    </row>
    <row r="68" spans="7:18" s="186" customFormat="1">
      <c r="G68" s="97"/>
      <c r="I68" s="97"/>
      <c r="K68" s="97"/>
      <c r="M68" s="281"/>
      <c r="N68" s="311"/>
      <c r="O68" s="340"/>
      <c r="P68" s="340"/>
      <c r="Q68" s="98"/>
      <c r="R68" s="98"/>
    </row>
    <row r="69" spans="7:18" s="186" customFormat="1">
      <c r="G69" s="97"/>
      <c r="I69" s="97"/>
      <c r="K69" s="97"/>
      <c r="M69" s="281"/>
      <c r="N69" s="311"/>
      <c r="O69" s="340"/>
      <c r="P69" s="340"/>
      <c r="Q69" s="98"/>
      <c r="R69" s="98"/>
    </row>
    <row r="70" spans="7:18" s="186" customFormat="1">
      <c r="G70" s="97"/>
      <c r="I70" s="97"/>
      <c r="K70" s="97"/>
      <c r="M70" s="281"/>
      <c r="N70" s="311"/>
      <c r="O70" s="340"/>
      <c r="P70" s="340"/>
      <c r="Q70" s="98"/>
      <c r="R70" s="98"/>
    </row>
    <row r="71" spans="7:18" s="186" customFormat="1">
      <c r="G71" s="97"/>
      <c r="I71" s="97"/>
      <c r="K71" s="97"/>
      <c r="M71" s="281"/>
      <c r="N71" s="311"/>
      <c r="O71" s="340"/>
      <c r="P71" s="340"/>
      <c r="Q71" s="98"/>
      <c r="R71" s="98"/>
    </row>
    <row r="72" spans="7:18" s="186" customFormat="1">
      <c r="G72" s="97"/>
      <c r="I72" s="97"/>
      <c r="K72" s="97"/>
      <c r="M72" s="281"/>
      <c r="N72" s="311"/>
      <c r="O72" s="340"/>
      <c r="P72" s="340"/>
      <c r="Q72" s="98"/>
      <c r="R72" s="98"/>
    </row>
    <row r="73" spans="7:18" s="186" customFormat="1">
      <c r="G73" s="97"/>
      <c r="I73" s="97"/>
      <c r="K73" s="97"/>
      <c r="M73" s="281"/>
      <c r="N73" s="311"/>
      <c r="O73" s="340"/>
      <c r="P73" s="340"/>
      <c r="Q73" s="98"/>
      <c r="R73" s="98"/>
    </row>
    <row r="74" spans="7:18" s="186" customFormat="1">
      <c r="G74" s="97"/>
      <c r="I74" s="97"/>
      <c r="K74" s="97"/>
      <c r="M74" s="281"/>
      <c r="N74" s="311"/>
      <c r="O74" s="340"/>
      <c r="P74" s="340"/>
      <c r="Q74" s="98"/>
      <c r="R74" s="98"/>
    </row>
    <row r="75" spans="7:18" s="186" customFormat="1">
      <c r="G75" s="97"/>
      <c r="I75" s="97"/>
      <c r="K75" s="97"/>
      <c r="M75" s="281"/>
      <c r="N75" s="311"/>
      <c r="O75" s="340"/>
      <c r="P75" s="340"/>
      <c r="Q75" s="98"/>
      <c r="R75" s="98"/>
    </row>
    <row r="76" spans="7:18" s="186" customFormat="1">
      <c r="G76" s="97"/>
      <c r="I76" s="97"/>
      <c r="K76" s="97"/>
      <c r="M76" s="281"/>
      <c r="N76" s="311"/>
      <c r="O76" s="340"/>
      <c r="P76" s="340"/>
      <c r="Q76" s="98"/>
      <c r="R76" s="98"/>
    </row>
    <row r="77" spans="7:18" s="186" customFormat="1">
      <c r="G77" s="97"/>
      <c r="I77" s="97"/>
      <c r="K77" s="97"/>
      <c r="M77" s="281"/>
      <c r="N77" s="311"/>
      <c r="O77" s="340"/>
      <c r="P77" s="340"/>
      <c r="Q77" s="98"/>
      <c r="R77" s="98"/>
    </row>
    <row r="78" spans="7:18" s="186" customFormat="1">
      <c r="G78" s="97"/>
      <c r="I78" s="97"/>
      <c r="K78" s="97"/>
      <c r="M78" s="281"/>
      <c r="N78" s="311"/>
      <c r="O78" s="340"/>
      <c r="P78" s="340"/>
      <c r="Q78" s="98"/>
      <c r="R78" s="98"/>
    </row>
    <row r="79" spans="7:18" s="186" customFormat="1">
      <c r="G79" s="97"/>
      <c r="I79" s="97"/>
      <c r="K79" s="97"/>
      <c r="M79" s="281"/>
      <c r="N79" s="311"/>
      <c r="O79" s="340"/>
      <c r="P79" s="340"/>
      <c r="Q79" s="98"/>
      <c r="R79" s="98"/>
    </row>
    <row r="80" spans="7:18" s="186" customFormat="1">
      <c r="G80" s="97"/>
      <c r="I80" s="97"/>
      <c r="K80" s="97"/>
      <c r="M80" s="281"/>
      <c r="N80" s="311"/>
      <c r="O80" s="340"/>
      <c r="P80" s="340"/>
      <c r="Q80" s="98"/>
      <c r="R80" s="98"/>
    </row>
    <row r="81" spans="7:18" s="186" customFormat="1">
      <c r="G81" s="97"/>
      <c r="I81" s="97"/>
      <c r="K81" s="97"/>
      <c r="M81" s="281"/>
      <c r="N81" s="311"/>
      <c r="O81" s="340"/>
      <c r="P81" s="340"/>
      <c r="Q81" s="98"/>
      <c r="R81" s="98"/>
    </row>
    <row r="82" spans="7:18" s="186" customFormat="1">
      <c r="G82" s="97"/>
      <c r="I82" s="97"/>
      <c r="K82" s="97"/>
      <c r="M82" s="281"/>
      <c r="N82" s="311"/>
      <c r="O82" s="340"/>
      <c r="P82" s="340"/>
      <c r="Q82" s="98"/>
      <c r="R82" s="98"/>
    </row>
    <row r="83" spans="7:18" s="186" customFormat="1">
      <c r="G83" s="97"/>
      <c r="I83" s="97"/>
      <c r="K83" s="97"/>
      <c r="M83" s="281"/>
      <c r="N83" s="311"/>
      <c r="O83" s="340"/>
      <c r="P83" s="340"/>
      <c r="Q83" s="98"/>
      <c r="R83" s="98"/>
    </row>
    <row r="84" spans="7:18" s="186" customFormat="1">
      <c r="G84" s="97"/>
      <c r="I84" s="97"/>
      <c r="K84" s="97"/>
      <c r="M84" s="281"/>
      <c r="N84" s="311"/>
      <c r="O84" s="340"/>
      <c r="P84" s="340"/>
      <c r="Q84" s="98"/>
      <c r="R84" s="98"/>
    </row>
    <row r="85" spans="7:18" s="186" customFormat="1">
      <c r="G85" s="97"/>
      <c r="I85" s="97"/>
      <c r="K85" s="97"/>
      <c r="M85" s="281"/>
      <c r="N85" s="311"/>
      <c r="O85" s="340"/>
      <c r="P85" s="340"/>
      <c r="Q85" s="98"/>
      <c r="R85" s="98"/>
    </row>
    <row r="86" spans="7:18" s="186" customFormat="1">
      <c r="G86" s="97"/>
      <c r="I86" s="97"/>
      <c r="K86" s="97"/>
      <c r="M86" s="281"/>
      <c r="N86" s="311"/>
      <c r="O86" s="340"/>
      <c r="P86" s="340"/>
      <c r="Q86" s="98"/>
      <c r="R86" s="98"/>
    </row>
    <row r="87" spans="7:18" s="186" customFormat="1">
      <c r="G87" s="97"/>
      <c r="I87" s="97"/>
      <c r="K87" s="97"/>
      <c r="M87" s="281"/>
      <c r="N87" s="311"/>
      <c r="O87" s="340"/>
      <c r="P87" s="340"/>
      <c r="Q87" s="98"/>
      <c r="R87" s="98"/>
    </row>
    <row r="88" spans="7:18" s="186" customFormat="1">
      <c r="G88" s="97"/>
      <c r="I88" s="97"/>
      <c r="K88" s="97"/>
      <c r="M88" s="281"/>
      <c r="N88" s="311"/>
      <c r="O88" s="340"/>
      <c r="P88" s="340"/>
      <c r="Q88" s="98"/>
      <c r="R88" s="98"/>
    </row>
    <row r="89" spans="7:18" s="186" customFormat="1">
      <c r="G89" s="97"/>
      <c r="I89" s="97"/>
      <c r="K89" s="97"/>
      <c r="M89" s="281"/>
      <c r="N89" s="311"/>
      <c r="O89" s="340"/>
      <c r="P89" s="340"/>
      <c r="Q89" s="98"/>
      <c r="R89" s="98"/>
    </row>
    <row r="90" spans="7:18" s="186" customFormat="1">
      <c r="G90" s="97"/>
      <c r="I90" s="97"/>
      <c r="K90" s="97"/>
      <c r="M90" s="281"/>
      <c r="N90" s="311"/>
      <c r="O90" s="340"/>
      <c r="P90" s="340"/>
      <c r="Q90" s="98"/>
      <c r="R90" s="98"/>
    </row>
    <row r="91" spans="7:18" s="186" customFormat="1">
      <c r="G91" s="97"/>
      <c r="I91" s="97"/>
      <c r="K91" s="97"/>
      <c r="M91" s="281"/>
      <c r="N91" s="311"/>
      <c r="O91" s="340"/>
      <c r="P91" s="340"/>
      <c r="Q91" s="98"/>
      <c r="R91" s="98"/>
    </row>
    <row r="92" spans="7:18" s="186" customFormat="1">
      <c r="G92" s="97"/>
      <c r="I92" s="97"/>
      <c r="K92" s="97"/>
      <c r="M92" s="281"/>
      <c r="N92" s="311"/>
      <c r="O92" s="340"/>
      <c r="P92" s="340"/>
      <c r="Q92" s="98"/>
      <c r="R92" s="98"/>
    </row>
    <row r="93" spans="7:18" s="186" customFormat="1">
      <c r="G93" s="97"/>
      <c r="I93" s="97"/>
      <c r="K93" s="97"/>
      <c r="M93" s="281"/>
      <c r="N93" s="311"/>
      <c r="O93" s="340"/>
      <c r="P93" s="340"/>
      <c r="Q93" s="98"/>
      <c r="R93" s="98"/>
    </row>
    <row r="94" spans="7:18" s="186" customFormat="1">
      <c r="G94" s="97"/>
      <c r="I94" s="97"/>
      <c r="K94" s="97"/>
      <c r="M94" s="281"/>
      <c r="N94" s="311"/>
      <c r="O94" s="340"/>
      <c r="P94" s="340"/>
      <c r="Q94" s="98"/>
      <c r="R94" s="98"/>
    </row>
    <row r="95" spans="7:18" s="186" customFormat="1">
      <c r="G95" s="97"/>
      <c r="I95" s="97"/>
      <c r="K95" s="97"/>
      <c r="M95" s="281"/>
      <c r="N95" s="311"/>
      <c r="O95" s="340"/>
      <c r="P95" s="340"/>
      <c r="Q95" s="98"/>
      <c r="R95" s="98"/>
    </row>
    <row r="96" spans="7:18" s="186" customFormat="1">
      <c r="G96" s="97"/>
      <c r="I96" s="97"/>
      <c r="K96" s="97"/>
      <c r="M96" s="281"/>
      <c r="N96" s="311"/>
      <c r="O96" s="340"/>
      <c r="P96" s="340"/>
      <c r="Q96" s="98"/>
      <c r="R96" s="98"/>
    </row>
    <row r="97" spans="7:18" s="186" customFormat="1">
      <c r="G97" s="97"/>
      <c r="I97" s="97"/>
      <c r="K97" s="97"/>
      <c r="M97" s="281"/>
      <c r="N97" s="311"/>
      <c r="O97" s="340"/>
      <c r="P97" s="340"/>
      <c r="Q97" s="98"/>
      <c r="R97" s="98"/>
    </row>
    <row r="98" spans="7:18" s="186" customFormat="1">
      <c r="G98" s="97"/>
      <c r="I98" s="97"/>
      <c r="K98" s="97"/>
      <c r="M98" s="281"/>
      <c r="N98" s="311"/>
      <c r="O98" s="340"/>
      <c r="P98" s="340"/>
      <c r="Q98" s="98"/>
      <c r="R98" s="98"/>
    </row>
    <row r="99" spans="7:18" s="186" customFormat="1">
      <c r="G99" s="97"/>
      <c r="I99" s="97"/>
      <c r="K99" s="97"/>
      <c r="M99" s="281"/>
      <c r="N99" s="311"/>
      <c r="O99" s="340"/>
      <c r="P99" s="340"/>
      <c r="Q99" s="98"/>
      <c r="R99" s="98"/>
    </row>
    <row r="100" spans="7:18" s="186" customFormat="1">
      <c r="G100" s="97"/>
      <c r="I100" s="97"/>
      <c r="K100" s="97"/>
      <c r="M100" s="281"/>
      <c r="N100" s="311"/>
      <c r="O100" s="340"/>
      <c r="P100" s="340"/>
      <c r="Q100" s="98"/>
      <c r="R100" s="98"/>
    </row>
    <row r="101" spans="7:18" s="186" customFormat="1">
      <c r="G101" s="97"/>
      <c r="I101" s="97"/>
      <c r="K101" s="97"/>
      <c r="M101" s="281"/>
      <c r="N101" s="311"/>
      <c r="O101" s="340"/>
      <c r="P101" s="340"/>
      <c r="Q101" s="98"/>
      <c r="R101" s="98"/>
    </row>
    <row r="102" spans="7:18" s="186" customFormat="1">
      <c r="G102" s="97"/>
      <c r="I102" s="97"/>
      <c r="K102" s="97"/>
      <c r="M102" s="281"/>
      <c r="N102" s="311"/>
      <c r="O102" s="340"/>
      <c r="P102" s="340"/>
      <c r="Q102" s="98"/>
      <c r="R102" s="98"/>
    </row>
    <row r="103" spans="7:18" s="186" customFormat="1">
      <c r="G103" s="97"/>
      <c r="I103" s="97"/>
      <c r="K103" s="97"/>
      <c r="M103" s="281"/>
      <c r="N103" s="311"/>
      <c r="O103" s="340"/>
      <c r="P103" s="340"/>
      <c r="Q103" s="98"/>
      <c r="R103" s="98"/>
    </row>
    <row r="104" spans="7:18" s="186" customFormat="1">
      <c r="G104" s="97"/>
      <c r="I104" s="97"/>
      <c r="K104" s="97"/>
      <c r="M104" s="281"/>
      <c r="N104" s="311"/>
      <c r="O104" s="340"/>
      <c r="P104" s="340"/>
      <c r="Q104" s="98"/>
      <c r="R104" s="98"/>
    </row>
    <row r="105" spans="7:18" s="186" customFormat="1">
      <c r="G105" s="97"/>
      <c r="I105" s="97"/>
      <c r="K105" s="97"/>
      <c r="M105" s="281"/>
      <c r="N105" s="311"/>
      <c r="O105" s="340"/>
      <c r="P105" s="340"/>
      <c r="Q105" s="98"/>
      <c r="R105" s="98"/>
    </row>
    <row r="106" spans="7:18" s="186" customFormat="1">
      <c r="G106" s="97"/>
      <c r="I106" s="97"/>
      <c r="K106" s="97"/>
      <c r="M106" s="281"/>
      <c r="N106" s="311"/>
      <c r="O106" s="340"/>
      <c r="P106" s="340"/>
      <c r="Q106" s="98"/>
      <c r="R106" s="98"/>
    </row>
    <row r="107" spans="7:18" s="186" customFormat="1">
      <c r="G107" s="97"/>
      <c r="I107" s="97"/>
      <c r="K107" s="97"/>
      <c r="M107" s="281"/>
      <c r="N107" s="311"/>
      <c r="O107" s="340"/>
      <c r="P107" s="340"/>
      <c r="Q107" s="98"/>
      <c r="R107" s="98"/>
    </row>
    <row r="108" spans="7:18" s="186" customFormat="1">
      <c r="G108" s="97"/>
      <c r="I108" s="97"/>
      <c r="K108" s="97"/>
      <c r="M108" s="281"/>
      <c r="N108" s="311"/>
      <c r="O108" s="340"/>
      <c r="P108" s="340"/>
      <c r="Q108" s="98"/>
      <c r="R108" s="98"/>
    </row>
    <row r="109" spans="7:18" s="186" customFormat="1">
      <c r="G109" s="97"/>
      <c r="I109" s="97"/>
      <c r="K109" s="97"/>
      <c r="M109" s="281"/>
      <c r="N109" s="311"/>
      <c r="O109" s="340"/>
      <c r="P109" s="340"/>
      <c r="Q109" s="98"/>
      <c r="R109" s="98"/>
    </row>
    <row r="110" spans="7:18" s="186" customFormat="1">
      <c r="G110" s="97"/>
      <c r="I110" s="97"/>
      <c r="K110" s="97"/>
      <c r="M110" s="281"/>
      <c r="N110" s="311"/>
      <c r="O110" s="340"/>
      <c r="P110" s="340"/>
      <c r="Q110" s="98"/>
      <c r="R110" s="98"/>
    </row>
    <row r="111" spans="7:18" s="186" customFormat="1">
      <c r="G111" s="97"/>
      <c r="I111" s="97"/>
      <c r="K111" s="97"/>
      <c r="M111" s="281"/>
      <c r="N111" s="311"/>
      <c r="O111" s="340"/>
      <c r="P111" s="340"/>
      <c r="Q111" s="98"/>
      <c r="R111" s="98"/>
    </row>
    <row r="112" spans="7:18" s="186" customFormat="1">
      <c r="G112" s="97"/>
      <c r="I112" s="97"/>
      <c r="K112" s="97"/>
      <c r="M112" s="281"/>
      <c r="N112" s="311"/>
      <c r="O112" s="340"/>
      <c r="P112" s="340"/>
      <c r="Q112" s="98"/>
      <c r="R112" s="98"/>
    </row>
    <row r="113" spans="7:18" s="186" customFormat="1">
      <c r="G113" s="97"/>
      <c r="I113" s="97"/>
      <c r="K113" s="97"/>
      <c r="M113" s="281"/>
      <c r="N113" s="311"/>
      <c r="O113" s="340"/>
      <c r="P113" s="340"/>
      <c r="Q113" s="98"/>
      <c r="R113" s="98"/>
    </row>
    <row r="114" spans="7:18" s="186" customFormat="1">
      <c r="G114" s="97"/>
      <c r="I114" s="97"/>
      <c r="K114" s="97"/>
      <c r="M114" s="281"/>
      <c r="N114" s="311"/>
      <c r="O114" s="340"/>
      <c r="P114" s="340"/>
      <c r="Q114" s="98"/>
      <c r="R114" s="98"/>
    </row>
    <row r="115" spans="7:18" s="186" customFormat="1">
      <c r="G115" s="97"/>
      <c r="I115" s="97"/>
      <c r="K115" s="97"/>
      <c r="M115" s="281"/>
      <c r="N115" s="311"/>
      <c r="O115" s="340"/>
      <c r="P115" s="340"/>
      <c r="Q115" s="98"/>
      <c r="R115" s="98"/>
    </row>
    <row r="116" spans="7:18" s="186" customFormat="1">
      <c r="G116" s="97"/>
      <c r="I116" s="97"/>
      <c r="K116" s="97"/>
      <c r="M116" s="281"/>
      <c r="N116" s="311"/>
      <c r="O116" s="340"/>
      <c r="P116" s="340"/>
      <c r="Q116" s="98"/>
      <c r="R116" s="98"/>
    </row>
    <row r="117" spans="7:18" s="186" customFormat="1">
      <c r="G117" s="97"/>
      <c r="I117" s="97"/>
      <c r="K117" s="97"/>
      <c r="M117" s="281"/>
      <c r="N117" s="311"/>
      <c r="O117" s="340"/>
      <c r="P117" s="340"/>
      <c r="Q117" s="98"/>
      <c r="R117" s="98"/>
    </row>
    <row r="118" spans="7:18" s="186" customFormat="1">
      <c r="G118" s="97"/>
      <c r="I118" s="97"/>
      <c r="K118" s="97"/>
      <c r="M118" s="281"/>
      <c r="N118" s="311"/>
      <c r="O118" s="340"/>
      <c r="P118" s="340"/>
      <c r="Q118" s="98"/>
      <c r="R118" s="98"/>
    </row>
    <row r="119" spans="7:18" s="186" customFormat="1">
      <c r="G119" s="97"/>
      <c r="I119" s="97"/>
      <c r="K119" s="97"/>
      <c r="M119" s="281"/>
      <c r="N119" s="311"/>
      <c r="O119" s="340"/>
      <c r="P119" s="340"/>
      <c r="Q119" s="98"/>
      <c r="R119" s="98"/>
    </row>
    <row r="120" spans="7:18" s="186" customFormat="1">
      <c r="G120" s="97"/>
      <c r="I120" s="97"/>
      <c r="K120" s="97"/>
      <c r="M120" s="281"/>
      <c r="N120" s="311"/>
      <c r="O120" s="340"/>
      <c r="P120" s="340"/>
      <c r="Q120" s="98"/>
      <c r="R120" s="98"/>
    </row>
    <row r="121" spans="7:18" s="186" customFormat="1">
      <c r="G121" s="97"/>
      <c r="I121" s="97"/>
      <c r="K121" s="97"/>
      <c r="M121" s="281"/>
      <c r="N121" s="311"/>
      <c r="O121" s="340"/>
      <c r="P121" s="340"/>
      <c r="Q121" s="98"/>
      <c r="R121" s="98"/>
    </row>
    <row r="122" spans="7:18" s="186" customFormat="1">
      <c r="G122" s="97"/>
      <c r="I122" s="97"/>
      <c r="K122" s="97"/>
      <c r="M122" s="281"/>
      <c r="N122" s="311"/>
      <c r="O122" s="340"/>
      <c r="P122" s="340"/>
      <c r="Q122" s="98"/>
      <c r="R122" s="98"/>
    </row>
    <row r="123" spans="7:18" s="186" customFormat="1">
      <c r="G123" s="97"/>
      <c r="I123" s="97"/>
      <c r="K123" s="97"/>
      <c r="M123" s="281"/>
      <c r="N123" s="311"/>
      <c r="O123" s="340"/>
      <c r="P123" s="340"/>
      <c r="Q123" s="98"/>
      <c r="R123" s="98"/>
    </row>
    <row r="124" spans="7:18" s="186" customFormat="1">
      <c r="G124" s="97"/>
      <c r="I124" s="97"/>
      <c r="K124" s="97"/>
      <c r="M124" s="281"/>
      <c r="N124" s="311"/>
      <c r="O124" s="340"/>
      <c r="P124" s="340"/>
      <c r="Q124" s="98"/>
      <c r="R124" s="98"/>
    </row>
    <row r="125" spans="7:18" s="186" customFormat="1">
      <c r="G125" s="97"/>
      <c r="I125" s="97"/>
      <c r="K125" s="97"/>
      <c r="M125" s="281"/>
      <c r="N125" s="311"/>
      <c r="O125" s="340"/>
      <c r="P125" s="340"/>
      <c r="Q125" s="98"/>
      <c r="R125" s="98"/>
    </row>
    <row r="126" spans="7:18" s="186" customFormat="1">
      <c r="G126" s="97"/>
      <c r="I126" s="97"/>
      <c r="K126" s="97"/>
      <c r="M126" s="281"/>
      <c r="N126" s="311"/>
      <c r="O126" s="340"/>
      <c r="P126" s="340"/>
      <c r="Q126" s="98"/>
      <c r="R126" s="98"/>
    </row>
    <row r="127" spans="7:18" s="186" customFormat="1">
      <c r="G127" s="97"/>
      <c r="I127" s="97"/>
      <c r="K127" s="97"/>
      <c r="M127" s="281"/>
      <c r="N127" s="311"/>
      <c r="O127" s="340"/>
      <c r="P127" s="340"/>
      <c r="Q127" s="98"/>
      <c r="R127" s="98"/>
    </row>
    <row r="128" spans="7:18" s="186" customFormat="1">
      <c r="G128" s="97"/>
      <c r="I128" s="97"/>
      <c r="K128" s="97"/>
      <c r="M128" s="281"/>
      <c r="N128" s="311"/>
      <c r="O128" s="340"/>
      <c r="P128" s="340"/>
      <c r="Q128" s="98"/>
      <c r="R128" s="98"/>
    </row>
    <row r="129" spans="7:18" s="186" customFormat="1">
      <c r="G129" s="97"/>
      <c r="I129" s="97"/>
      <c r="K129" s="97"/>
      <c r="M129" s="281"/>
      <c r="N129" s="311"/>
      <c r="O129" s="340"/>
      <c r="P129" s="340"/>
      <c r="Q129" s="98"/>
      <c r="R129" s="98"/>
    </row>
    <row r="130" spans="7:18" s="186" customFormat="1">
      <c r="G130" s="97"/>
      <c r="I130" s="97"/>
      <c r="K130" s="97"/>
      <c r="M130" s="281"/>
      <c r="N130" s="311"/>
      <c r="O130" s="340"/>
      <c r="P130" s="340"/>
      <c r="Q130" s="98"/>
      <c r="R130" s="98"/>
    </row>
    <row r="131" spans="7:18" s="186" customFormat="1">
      <c r="G131" s="97"/>
      <c r="I131" s="97"/>
      <c r="K131" s="97"/>
      <c r="M131" s="281"/>
      <c r="N131" s="311"/>
      <c r="O131" s="340"/>
      <c r="P131" s="340"/>
      <c r="Q131" s="98"/>
      <c r="R131" s="98"/>
    </row>
    <row r="132" spans="7:18" s="186" customFormat="1">
      <c r="G132" s="97"/>
      <c r="I132" s="97"/>
      <c r="K132" s="97"/>
      <c r="M132" s="281"/>
      <c r="N132" s="311"/>
      <c r="O132" s="340"/>
      <c r="P132" s="340"/>
      <c r="Q132" s="98"/>
      <c r="R132" s="98"/>
    </row>
    <row r="133" spans="7:18" s="186" customFormat="1">
      <c r="G133" s="97"/>
      <c r="I133" s="97"/>
      <c r="K133" s="97"/>
      <c r="M133" s="281"/>
      <c r="N133" s="311"/>
      <c r="O133" s="340"/>
      <c r="P133" s="340"/>
      <c r="Q133" s="98"/>
      <c r="R133" s="98"/>
    </row>
    <row r="134" spans="7:18" s="186" customFormat="1">
      <c r="G134" s="97"/>
      <c r="I134" s="97"/>
      <c r="K134" s="97"/>
      <c r="M134" s="281"/>
      <c r="N134" s="311"/>
      <c r="O134" s="340"/>
      <c r="P134" s="340"/>
      <c r="Q134" s="98"/>
      <c r="R134" s="98"/>
    </row>
    <row r="135" spans="7:18" s="186" customFormat="1">
      <c r="G135" s="97"/>
      <c r="I135" s="97"/>
      <c r="K135" s="97"/>
      <c r="M135" s="281"/>
      <c r="N135" s="311"/>
      <c r="O135" s="340"/>
      <c r="P135" s="340"/>
      <c r="Q135" s="98"/>
      <c r="R135" s="98"/>
    </row>
    <row r="136" spans="7:18" s="186" customFormat="1">
      <c r="G136" s="97"/>
      <c r="I136" s="97"/>
      <c r="K136" s="97"/>
      <c r="M136" s="281"/>
      <c r="N136" s="311"/>
      <c r="O136" s="340"/>
      <c r="P136" s="340"/>
      <c r="Q136" s="98"/>
      <c r="R136" s="98"/>
    </row>
    <row r="137" spans="7:18" s="186" customFormat="1">
      <c r="G137" s="97"/>
      <c r="I137" s="97"/>
      <c r="K137" s="97"/>
      <c r="M137" s="281"/>
      <c r="N137" s="311"/>
      <c r="O137" s="340"/>
      <c r="P137" s="340"/>
      <c r="Q137" s="98"/>
      <c r="R137" s="98"/>
    </row>
    <row r="138" spans="7:18" s="186" customFormat="1">
      <c r="G138" s="97"/>
      <c r="I138" s="97"/>
      <c r="K138" s="97"/>
      <c r="M138" s="281"/>
      <c r="N138" s="311"/>
      <c r="O138" s="340"/>
      <c r="P138" s="340"/>
      <c r="Q138" s="98"/>
      <c r="R138" s="98"/>
    </row>
    <row r="139" spans="7:18" s="186" customFormat="1">
      <c r="G139" s="97"/>
      <c r="I139" s="97"/>
      <c r="K139" s="97"/>
      <c r="M139" s="281"/>
      <c r="N139" s="311"/>
      <c r="O139" s="340"/>
      <c r="P139" s="340"/>
      <c r="Q139" s="98"/>
      <c r="R139" s="98"/>
    </row>
    <row r="140" spans="7:18" s="186" customFormat="1">
      <c r="G140" s="97"/>
      <c r="I140" s="97"/>
      <c r="K140" s="97"/>
      <c r="M140" s="281"/>
      <c r="N140" s="311"/>
      <c r="O140" s="340"/>
      <c r="P140" s="340"/>
      <c r="Q140" s="98"/>
      <c r="R140" s="98"/>
    </row>
    <row r="141" spans="7:18" s="186" customFormat="1">
      <c r="G141" s="97"/>
      <c r="I141" s="97"/>
      <c r="K141" s="97"/>
      <c r="M141" s="281"/>
      <c r="N141" s="311"/>
      <c r="O141" s="340"/>
      <c r="P141" s="340"/>
      <c r="Q141" s="98"/>
      <c r="R141" s="98"/>
    </row>
    <row r="142" spans="7:18" s="186" customFormat="1">
      <c r="G142" s="97"/>
      <c r="I142" s="97"/>
      <c r="K142" s="97"/>
      <c r="M142" s="281"/>
      <c r="N142" s="311"/>
      <c r="O142" s="340"/>
      <c r="P142" s="340"/>
      <c r="Q142" s="98"/>
      <c r="R142" s="98"/>
    </row>
    <row r="143" spans="7:18" s="186" customFormat="1">
      <c r="G143" s="97"/>
      <c r="I143" s="97"/>
      <c r="K143" s="97"/>
      <c r="M143" s="281"/>
      <c r="N143" s="311"/>
      <c r="O143" s="340"/>
      <c r="P143" s="340"/>
      <c r="Q143" s="98"/>
      <c r="R143" s="98"/>
    </row>
    <row r="144" spans="7:18" s="186" customFormat="1">
      <c r="G144" s="97"/>
      <c r="I144" s="97"/>
      <c r="K144" s="97"/>
      <c r="M144" s="281"/>
      <c r="N144" s="311"/>
      <c r="O144" s="340"/>
      <c r="P144" s="340"/>
      <c r="Q144" s="98"/>
      <c r="R144" s="98"/>
    </row>
    <row r="145" spans="7:18" s="186" customFormat="1">
      <c r="G145" s="97"/>
      <c r="I145" s="97"/>
      <c r="K145" s="97"/>
      <c r="M145" s="281"/>
      <c r="N145" s="311"/>
      <c r="O145" s="340"/>
      <c r="P145" s="340"/>
      <c r="Q145" s="98"/>
      <c r="R145" s="98"/>
    </row>
    <row r="146" spans="7:18" s="186" customFormat="1">
      <c r="G146" s="97"/>
      <c r="I146" s="97"/>
      <c r="K146" s="97"/>
      <c r="M146" s="281"/>
      <c r="N146" s="311"/>
      <c r="O146" s="340"/>
      <c r="P146" s="340"/>
      <c r="Q146" s="98"/>
      <c r="R146" s="98"/>
    </row>
    <row r="147" spans="7:18" s="186" customFormat="1">
      <c r="G147" s="97"/>
      <c r="I147" s="97"/>
      <c r="K147" s="97"/>
      <c r="M147" s="281"/>
      <c r="N147" s="311"/>
      <c r="O147" s="340"/>
      <c r="P147" s="340"/>
      <c r="Q147" s="98"/>
      <c r="R147" s="98"/>
    </row>
    <row r="148" spans="7:18" s="186" customFormat="1">
      <c r="G148" s="97"/>
      <c r="I148" s="97"/>
      <c r="K148" s="97"/>
      <c r="M148" s="281"/>
      <c r="N148" s="311"/>
      <c r="O148" s="340"/>
      <c r="P148" s="340"/>
      <c r="Q148" s="98"/>
      <c r="R148" s="98"/>
    </row>
    <row r="149" spans="7:18" s="186" customFormat="1">
      <c r="G149" s="97"/>
      <c r="I149" s="97"/>
      <c r="K149" s="97"/>
      <c r="M149" s="281"/>
      <c r="N149" s="311"/>
      <c r="O149" s="340"/>
      <c r="P149" s="340"/>
      <c r="Q149" s="98"/>
      <c r="R149" s="98"/>
    </row>
    <row r="150" spans="7:18" s="186" customFormat="1">
      <c r="G150" s="97"/>
      <c r="I150" s="97"/>
      <c r="K150" s="97"/>
      <c r="M150" s="281"/>
      <c r="N150" s="311"/>
      <c r="O150" s="340"/>
      <c r="P150" s="340"/>
      <c r="Q150" s="98"/>
      <c r="R150" s="98"/>
    </row>
    <row r="151" spans="7:18" s="186" customFormat="1">
      <c r="G151" s="97"/>
      <c r="I151" s="97"/>
      <c r="K151" s="97"/>
      <c r="M151" s="281"/>
      <c r="N151" s="311"/>
      <c r="O151" s="340"/>
      <c r="P151" s="340"/>
      <c r="Q151" s="98"/>
      <c r="R151" s="98"/>
    </row>
    <row r="152" spans="7:18" s="186" customFormat="1">
      <c r="G152" s="97"/>
      <c r="I152" s="97"/>
      <c r="K152" s="97"/>
      <c r="M152" s="281"/>
      <c r="N152" s="311"/>
      <c r="O152" s="340"/>
      <c r="P152" s="340"/>
      <c r="Q152" s="98"/>
      <c r="R152" s="98"/>
    </row>
    <row r="153" spans="7:18" s="186" customFormat="1">
      <c r="G153" s="97"/>
      <c r="I153" s="97"/>
      <c r="K153" s="97"/>
      <c r="M153" s="281"/>
      <c r="N153" s="311"/>
      <c r="O153" s="340"/>
      <c r="P153" s="340"/>
      <c r="Q153" s="98"/>
      <c r="R153" s="98"/>
    </row>
    <row r="154" spans="7:18" s="186" customFormat="1">
      <c r="G154" s="97"/>
      <c r="I154" s="97"/>
      <c r="K154" s="97"/>
      <c r="M154" s="281"/>
      <c r="N154" s="311"/>
      <c r="O154" s="340"/>
      <c r="P154" s="340"/>
      <c r="Q154" s="98"/>
      <c r="R154" s="98"/>
    </row>
    <row r="155" spans="7:18" s="186" customFormat="1">
      <c r="G155" s="97"/>
      <c r="I155" s="97"/>
      <c r="K155" s="97"/>
      <c r="M155" s="281"/>
      <c r="N155" s="311"/>
      <c r="O155" s="340"/>
      <c r="P155" s="340"/>
      <c r="Q155" s="98"/>
      <c r="R155" s="98"/>
    </row>
    <row r="156" spans="7:18" s="186" customFormat="1">
      <c r="G156" s="97"/>
      <c r="I156" s="97"/>
      <c r="K156" s="97"/>
      <c r="M156" s="281"/>
      <c r="N156" s="311"/>
      <c r="O156" s="340"/>
      <c r="P156" s="340"/>
      <c r="Q156" s="98"/>
      <c r="R156" s="98"/>
    </row>
    <row r="157" spans="7:18" s="186" customFormat="1">
      <c r="G157" s="97"/>
      <c r="I157" s="97"/>
      <c r="K157" s="97"/>
      <c r="M157" s="281"/>
      <c r="N157" s="311"/>
      <c r="O157" s="340"/>
      <c r="P157" s="340"/>
      <c r="Q157" s="98"/>
      <c r="R157" s="98"/>
    </row>
    <row r="158" spans="7:18" s="186" customFormat="1">
      <c r="G158" s="97"/>
      <c r="I158" s="97"/>
      <c r="K158" s="97"/>
      <c r="M158" s="281"/>
      <c r="N158" s="311"/>
      <c r="O158" s="340"/>
      <c r="P158" s="340"/>
      <c r="Q158" s="98"/>
      <c r="R158" s="98"/>
    </row>
    <row r="159" spans="7:18" s="186" customFormat="1">
      <c r="G159" s="97"/>
      <c r="I159" s="97"/>
      <c r="K159" s="97"/>
      <c r="M159" s="281"/>
      <c r="N159" s="311"/>
      <c r="O159" s="340"/>
      <c r="P159" s="340"/>
      <c r="Q159" s="98"/>
      <c r="R159" s="98"/>
    </row>
    <row r="160" spans="7:18" s="186" customFormat="1">
      <c r="G160" s="97"/>
      <c r="I160" s="97"/>
      <c r="K160" s="97"/>
      <c r="M160" s="281"/>
      <c r="N160" s="311"/>
      <c r="O160" s="340"/>
      <c r="P160" s="340"/>
      <c r="Q160" s="98"/>
      <c r="R160" s="98"/>
    </row>
    <row r="161" spans="7:18" s="186" customFormat="1">
      <c r="G161" s="97"/>
      <c r="I161" s="97"/>
      <c r="K161" s="97"/>
      <c r="M161" s="281"/>
      <c r="N161" s="311"/>
      <c r="O161" s="340"/>
      <c r="P161" s="340"/>
      <c r="Q161" s="98"/>
      <c r="R161" s="98"/>
    </row>
    <row r="162" spans="7:18" s="186" customFormat="1">
      <c r="G162" s="97"/>
      <c r="I162" s="97"/>
      <c r="K162" s="97"/>
      <c r="M162" s="281"/>
      <c r="N162" s="311"/>
      <c r="O162" s="340"/>
      <c r="P162" s="340"/>
      <c r="Q162" s="98"/>
      <c r="R162" s="98"/>
    </row>
    <row r="163" spans="7:18" s="186" customFormat="1">
      <c r="G163" s="97"/>
      <c r="I163" s="97"/>
      <c r="K163" s="97"/>
      <c r="M163" s="281"/>
      <c r="N163" s="311"/>
      <c r="O163" s="340"/>
      <c r="P163" s="340"/>
      <c r="Q163" s="98"/>
      <c r="R163" s="98"/>
    </row>
    <row r="164" spans="7:18" s="186" customFormat="1">
      <c r="G164" s="97"/>
      <c r="I164" s="97"/>
      <c r="K164" s="97"/>
      <c r="M164" s="281"/>
      <c r="N164" s="311"/>
      <c r="O164" s="340"/>
      <c r="P164" s="340"/>
      <c r="Q164" s="98"/>
      <c r="R164" s="98"/>
    </row>
    <row r="165" spans="7:18" s="186" customFormat="1">
      <c r="G165" s="97"/>
      <c r="I165" s="97"/>
      <c r="K165" s="97"/>
      <c r="M165" s="281"/>
      <c r="N165" s="311"/>
      <c r="O165" s="340"/>
      <c r="P165" s="340"/>
      <c r="Q165" s="98"/>
      <c r="R165" s="98"/>
    </row>
    <row r="166" spans="7:18" s="186" customFormat="1">
      <c r="G166" s="97"/>
      <c r="I166" s="97"/>
      <c r="K166" s="97"/>
      <c r="M166" s="281"/>
      <c r="N166" s="311"/>
      <c r="O166" s="340"/>
      <c r="P166" s="340"/>
      <c r="Q166" s="98"/>
      <c r="R166" s="98"/>
    </row>
    <row r="167" spans="7:18" s="186" customFormat="1">
      <c r="G167" s="97"/>
      <c r="I167" s="97"/>
      <c r="K167" s="97"/>
      <c r="M167" s="281"/>
      <c r="N167" s="311"/>
      <c r="O167" s="340"/>
      <c r="P167" s="340"/>
      <c r="Q167" s="98"/>
      <c r="R167" s="98"/>
    </row>
    <row r="168" spans="7:18" s="186" customFormat="1">
      <c r="G168" s="97"/>
      <c r="I168" s="97"/>
      <c r="K168" s="97"/>
      <c r="M168" s="281"/>
      <c r="N168" s="311"/>
      <c r="O168" s="340"/>
      <c r="P168" s="340"/>
      <c r="Q168" s="98"/>
      <c r="R168" s="98"/>
    </row>
    <row r="169" spans="7:18" s="186" customFormat="1">
      <c r="G169" s="97"/>
      <c r="I169" s="97"/>
      <c r="K169" s="97"/>
      <c r="M169" s="281"/>
      <c r="N169" s="311"/>
      <c r="O169" s="340"/>
      <c r="P169" s="340"/>
      <c r="Q169" s="98"/>
      <c r="R169" s="98"/>
    </row>
    <row r="170" spans="7:18" s="186" customFormat="1">
      <c r="G170" s="97"/>
      <c r="I170" s="97"/>
      <c r="K170" s="97"/>
      <c r="M170" s="281"/>
      <c r="N170" s="311"/>
      <c r="O170" s="340"/>
      <c r="P170" s="340"/>
      <c r="Q170" s="98"/>
      <c r="R170" s="98"/>
    </row>
    <row r="171" spans="7:18" s="186" customFormat="1">
      <c r="G171" s="97"/>
      <c r="I171" s="97"/>
      <c r="K171" s="97"/>
      <c r="M171" s="281"/>
      <c r="N171" s="311"/>
      <c r="O171" s="340"/>
      <c r="P171" s="340"/>
      <c r="Q171" s="98"/>
      <c r="R171" s="98"/>
    </row>
    <row r="172" spans="7:18" s="186" customFormat="1">
      <c r="G172" s="97"/>
      <c r="I172" s="97"/>
      <c r="K172" s="97"/>
      <c r="M172" s="281"/>
      <c r="N172" s="311"/>
      <c r="O172" s="340"/>
      <c r="P172" s="340"/>
      <c r="Q172" s="98"/>
      <c r="R172" s="98"/>
    </row>
    <row r="173" spans="7:18" s="186" customFormat="1">
      <c r="G173" s="97"/>
      <c r="I173" s="97"/>
      <c r="K173" s="97"/>
      <c r="M173" s="281"/>
      <c r="N173" s="311"/>
      <c r="O173" s="340"/>
      <c r="P173" s="340"/>
      <c r="Q173" s="98"/>
      <c r="R173" s="98"/>
    </row>
    <row r="174" spans="7:18" s="186" customFormat="1">
      <c r="G174" s="97"/>
      <c r="I174" s="97"/>
      <c r="K174" s="97"/>
      <c r="M174" s="281"/>
      <c r="N174" s="311"/>
      <c r="O174" s="340"/>
      <c r="P174" s="340"/>
      <c r="Q174" s="98"/>
      <c r="R174" s="98"/>
    </row>
    <row r="175" spans="7:18" s="186" customFormat="1">
      <c r="G175" s="97"/>
      <c r="I175" s="97"/>
      <c r="K175" s="97"/>
      <c r="M175" s="281"/>
      <c r="N175" s="311"/>
      <c r="O175" s="340"/>
      <c r="P175" s="340"/>
      <c r="Q175" s="98"/>
      <c r="R175" s="98"/>
    </row>
    <row r="176" spans="7:18" s="186" customFormat="1">
      <c r="G176" s="97"/>
      <c r="I176" s="97"/>
      <c r="K176" s="97"/>
      <c r="M176" s="281"/>
      <c r="N176" s="311"/>
      <c r="O176" s="340"/>
      <c r="P176" s="340"/>
      <c r="Q176" s="98"/>
      <c r="R176" s="98"/>
    </row>
    <row r="177" spans="7:18" s="186" customFormat="1">
      <c r="G177" s="97"/>
      <c r="I177" s="97"/>
      <c r="K177" s="97"/>
      <c r="M177" s="281"/>
      <c r="N177" s="311"/>
      <c r="O177" s="340"/>
      <c r="P177" s="340"/>
      <c r="Q177" s="98"/>
      <c r="R177" s="98"/>
    </row>
    <row r="178" spans="7:18" s="186" customFormat="1">
      <c r="G178" s="97"/>
      <c r="I178" s="97"/>
      <c r="K178" s="97"/>
      <c r="M178" s="281"/>
      <c r="N178" s="311"/>
      <c r="O178" s="340"/>
      <c r="P178" s="340"/>
      <c r="Q178" s="98"/>
      <c r="R178" s="98"/>
    </row>
    <row r="179" spans="7:18" s="186" customFormat="1">
      <c r="G179" s="97"/>
      <c r="I179" s="97"/>
      <c r="K179" s="97"/>
      <c r="M179" s="281"/>
      <c r="N179" s="311"/>
      <c r="O179" s="340"/>
      <c r="P179" s="340"/>
      <c r="Q179" s="98"/>
      <c r="R179" s="98"/>
    </row>
    <row r="180" spans="7:18" s="186" customFormat="1">
      <c r="G180" s="97"/>
      <c r="I180" s="97"/>
      <c r="K180" s="97"/>
      <c r="M180" s="281"/>
      <c r="N180" s="311"/>
      <c r="O180" s="340"/>
      <c r="P180" s="340"/>
      <c r="Q180" s="98"/>
      <c r="R180" s="98"/>
    </row>
    <row r="181" spans="7:18" s="186" customFormat="1">
      <c r="G181" s="97"/>
      <c r="I181" s="97"/>
      <c r="K181" s="97"/>
      <c r="M181" s="281"/>
      <c r="N181" s="311"/>
      <c r="O181" s="340"/>
      <c r="P181" s="340"/>
      <c r="Q181" s="98"/>
      <c r="R181" s="98"/>
    </row>
    <row r="182" spans="7:18" s="186" customFormat="1">
      <c r="G182" s="97"/>
      <c r="I182" s="97"/>
      <c r="K182" s="97"/>
      <c r="M182" s="281"/>
      <c r="N182" s="311"/>
      <c r="O182" s="340"/>
      <c r="P182" s="340"/>
      <c r="Q182" s="98"/>
      <c r="R182" s="98"/>
    </row>
    <row r="183" spans="7:18" s="186" customFormat="1">
      <c r="G183" s="97"/>
      <c r="I183" s="97"/>
      <c r="K183" s="97"/>
      <c r="M183" s="281"/>
      <c r="N183" s="311"/>
      <c r="O183" s="340"/>
      <c r="P183" s="340"/>
      <c r="Q183" s="98"/>
      <c r="R183" s="98"/>
    </row>
    <row r="184" spans="7:18" s="186" customFormat="1">
      <c r="G184" s="97"/>
      <c r="I184" s="97"/>
      <c r="K184" s="97"/>
      <c r="M184" s="281"/>
      <c r="N184" s="311"/>
      <c r="O184" s="340"/>
      <c r="P184" s="340"/>
      <c r="Q184" s="98"/>
      <c r="R184" s="98"/>
    </row>
    <row r="185" spans="7:18" s="186" customFormat="1">
      <c r="G185" s="97"/>
      <c r="I185" s="97"/>
      <c r="K185" s="97"/>
      <c r="M185" s="281"/>
      <c r="N185" s="311"/>
      <c r="O185" s="340"/>
      <c r="P185" s="340"/>
      <c r="Q185" s="98"/>
      <c r="R185" s="98"/>
    </row>
    <row r="186" spans="7:18" s="186" customFormat="1">
      <c r="G186" s="97"/>
      <c r="I186" s="97"/>
      <c r="K186" s="97"/>
      <c r="M186" s="281"/>
      <c r="N186" s="311"/>
      <c r="O186" s="340"/>
      <c r="P186" s="340"/>
      <c r="Q186" s="98"/>
      <c r="R186" s="98"/>
    </row>
    <row r="187" spans="7:18" s="186" customFormat="1">
      <c r="G187" s="97"/>
      <c r="I187" s="97"/>
      <c r="K187" s="97"/>
      <c r="M187" s="281"/>
      <c r="N187" s="311"/>
      <c r="O187" s="340"/>
      <c r="P187" s="340"/>
      <c r="Q187" s="98"/>
      <c r="R187" s="98"/>
    </row>
    <row r="188" spans="7:18" s="186" customFormat="1">
      <c r="G188" s="97"/>
      <c r="I188" s="97"/>
      <c r="K188" s="97"/>
      <c r="M188" s="281"/>
      <c r="N188" s="311"/>
      <c r="O188" s="340"/>
      <c r="P188" s="340"/>
      <c r="Q188" s="98"/>
      <c r="R188" s="98"/>
    </row>
    <row r="189" spans="7:18" s="186" customFormat="1">
      <c r="G189" s="97"/>
      <c r="I189" s="97"/>
      <c r="K189" s="97"/>
      <c r="M189" s="281"/>
      <c r="N189" s="311"/>
      <c r="O189" s="340"/>
      <c r="P189" s="340"/>
      <c r="Q189" s="98"/>
      <c r="R189" s="98"/>
    </row>
    <row r="190" spans="7:18" s="186" customFormat="1">
      <c r="G190" s="97"/>
      <c r="I190" s="97"/>
      <c r="K190" s="97"/>
      <c r="M190" s="281"/>
      <c r="N190" s="311"/>
      <c r="O190" s="340"/>
      <c r="P190" s="340"/>
      <c r="Q190" s="98"/>
      <c r="R190" s="98"/>
    </row>
    <row r="191" spans="7:18" s="186" customFormat="1">
      <c r="G191" s="97"/>
      <c r="I191" s="97"/>
      <c r="K191" s="97"/>
      <c r="M191" s="281"/>
      <c r="N191" s="311"/>
      <c r="O191" s="340"/>
      <c r="P191" s="340"/>
      <c r="Q191" s="98"/>
      <c r="R191" s="98"/>
    </row>
    <row r="192" spans="7:18" s="186" customFormat="1">
      <c r="G192" s="97"/>
      <c r="I192" s="97"/>
      <c r="K192" s="97"/>
      <c r="M192" s="281"/>
      <c r="N192" s="311"/>
      <c r="O192" s="340"/>
      <c r="P192" s="340"/>
      <c r="Q192" s="98"/>
      <c r="R192" s="98"/>
    </row>
    <row r="193" spans="7:18" s="186" customFormat="1">
      <c r="G193" s="97"/>
      <c r="I193" s="97"/>
      <c r="K193" s="97"/>
      <c r="M193" s="281"/>
      <c r="N193" s="311"/>
      <c r="O193" s="340"/>
      <c r="P193" s="340"/>
      <c r="Q193" s="98"/>
      <c r="R193" s="98"/>
    </row>
    <row r="194" spans="7:18" s="186" customFormat="1">
      <c r="G194" s="97"/>
      <c r="I194" s="97"/>
      <c r="K194" s="97"/>
      <c r="M194" s="281"/>
      <c r="N194" s="311"/>
      <c r="O194" s="340"/>
      <c r="P194" s="340"/>
      <c r="Q194" s="98"/>
      <c r="R194" s="98"/>
    </row>
    <row r="195" spans="7:18" s="186" customFormat="1">
      <c r="G195" s="97"/>
      <c r="I195" s="97"/>
      <c r="K195" s="97"/>
      <c r="M195" s="281"/>
      <c r="N195" s="311"/>
      <c r="O195" s="340"/>
      <c r="P195" s="340"/>
      <c r="Q195" s="98"/>
      <c r="R195" s="98"/>
    </row>
    <row r="196" spans="7:18" s="186" customFormat="1">
      <c r="G196" s="97"/>
      <c r="I196" s="97"/>
      <c r="K196" s="97"/>
      <c r="M196" s="281"/>
      <c r="N196" s="311"/>
      <c r="O196" s="340"/>
      <c r="P196" s="340"/>
      <c r="Q196" s="98"/>
      <c r="R196" s="98"/>
    </row>
    <row r="197" spans="7:18" s="186" customFormat="1">
      <c r="G197" s="97"/>
      <c r="I197" s="97"/>
      <c r="K197" s="97"/>
      <c r="M197" s="281"/>
      <c r="N197" s="311"/>
      <c r="O197" s="340"/>
      <c r="P197" s="340"/>
      <c r="Q197" s="98"/>
      <c r="R197" s="98"/>
    </row>
    <row r="198" spans="7:18" s="186" customFormat="1">
      <c r="G198" s="97"/>
      <c r="I198" s="97"/>
      <c r="K198" s="97"/>
      <c r="M198" s="281"/>
      <c r="N198" s="311"/>
      <c r="O198" s="340"/>
      <c r="P198" s="340"/>
      <c r="Q198" s="98"/>
      <c r="R198" s="98"/>
    </row>
    <row r="199" spans="7:18" s="186" customFormat="1">
      <c r="G199" s="97"/>
      <c r="I199" s="97"/>
      <c r="K199" s="97"/>
      <c r="M199" s="281"/>
      <c r="N199" s="311"/>
      <c r="O199" s="340"/>
      <c r="P199" s="340"/>
      <c r="Q199" s="98"/>
      <c r="R199" s="98"/>
    </row>
    <row r="200" spans="7:18" s="186" customFormat="1">
      <c r="G200" s="97"/>
      <c r="I200" s="97"/>
      <c r="K200" s="97"/>
      <c r="M200" s="281"/>
      <c r="N200" s="311"/>
      <c r="O200" s="340"/>
      <c r="P200" s="340"/>
      <c r="Q200" s="98"/>
      <c r="R200" s="98"/>
    </row>
    <row r="201" spans="7:18" s="186" customFormat="1">
      <c r="G201" s="97"/>
      <c r="I201" s="97"/>
      <c r="K201" s="97"/>
      <c r="M201" s="281"/>
      <c r="N201" s="311"/>
      <c r="O201" s="340"/>
      <c r="P201" s="340"/>
      <c r="Q201" s="98"/>
      <c r="R201" s="98"/>
    </row>
    <row r="202" spans="7:18" s="186" customFormat="1">
      <c r="G202" s="97"/>
      <c r="I202" s="97"/>
      <c r="K202" s="97"/>
      <c r="M202" s="281"/>
      <c r="N202" s="311"/>
      <c r="O202" s="340"/>
      <c r="P202" s="340"/>
      <c r="Q202" s="98"/>
      <c r="R202" s="98"/>
    </row>
    <row r="203" spans="7:18" s="186" customFormat="1">
      <c r="G203" s="97"/>
      <c r="I203" s="97"/>
      <c r="K203" s="97"/>
      <c r="M203" s="281"/>
      <c r="N203" s="311"/>
      <c r="O203" s="340"/>
      <c r="P203" s="340"/>
      <c r="Q203" s="98"/>
      <c r="R203" s="98"/>
    </row>
    <row r="204" spans="7:18" s="186" customFormat="1">
      <c r="G204" s="97"/>
      <c r="I204" s="97"/>
      <c r="K204" s="97"/>
      <c r="M204" s="281"/>
      <c r="N204" s="311"/>
      <c r="O204" s="340"/>
      <c r="P204" s="340"/>
      <c r="Q204" s="98"/>
      <c r="R204" s="98"/>
    </row>
    <row r="205" spans="7:18" s="186" customFormat="1">
      <c r="G205" s="97"/>
      <c r="I205" s="97"/>
      <c r="K205" s="97"/>
      <c r="M205" s="281"/>
      <c r="N205" s="311"/>
      <c r="O205" s="340"/>
      <c r="P205" s="340"/>
      <c r="Q205" s="98"/>
      <c r="R205" s="98"/>
    </row>
    <row r="206" spans="7:18" s="186" customFormat="1">
      <c r="G206" s="97"/>
      <c r="I206" s="97"/>
      <c r="K206" s="97"/>
      <c r="M206" s="281"/>
      <c r="N206" s="311"/>
      <c r="O206" s="340"/>
      <c r="P206" s="340"/>
      <c r="Q206" s="98"/>
      <c r="R206" s="98"/>
    </row>
    <row r="207" spans="7:18" s="186" customFormat="1">
      <c r="G207" s="97"/>
      <c r="I207" s="97"/>
      <c r="K207" s="97"/>
      <c r="M207" s="281"/>
      <c r="N207" s="311"/>
      <c r="O207" s="340"/>
      <c r="P207" s="340"/>
      <c r="Q207" s="98"/>
      <c r="R207" s="98"/>
    </row>
    <row r="208" spans="7:18" s="186" customFormat="1">
      <c r="G208" s="97"/>
      <c r="I208" s="97"/>
      <c r="K208" s="97"/>
      <c r="M208" s="281"/>
      <c r="N208" s="311"/>
      <c r="O208" s="340"/>
      <c r="P208" s="340"/>
      <c r="Q208" s="98"/>
      <c r="R208" s="98"/>
    </row>
    <row r="209" spans="7:18" s="186" customFormat="1">
      <c r="G209" s="97"/>
      <c r="I209" s="97"/>
      <c r="K209" s="97"/>
      <c r="M209" s="281"/>
      <c r="N209" s="311"/>
      <c r="O209" s="340"/>
      <c r="P209" s="340"/>
      <c r="Q209" s="98"/>
      <c r="R209" s="98"/>
    </row>
    <row r="210" spans="7:18" s="186" customFormat="1">
      <c r="G210" s="97"/>
      <c r="I210" s="97"/>
      <c r="K210" s="97"/>
      <c r="M210" s="281"/>
      <c r="N210" s="311"/>
      <c r="O210" s="340"/>
      <c r="P210" s="340"/>
      <c r="Q210" s="98"/>
      <c r="R210" s="98"/>
    </row>
    <row r="211" spans="7:18" s="186" customFormat="1">
      <c r="G211" s="97"/>
      <c r="I211" s="97"/>
      <c r="K211" s="97"/>
      <c r="M211" s="281"/>
      <c r="N211" s="311"/>
      <c r="O211" s="340"/>
      <c r="P211" s="340"/>
      <c r="Q211" s="98"/>
      <c r="R211" s="98"/>
    </row>
    <row r="212" spans="7:18" s="186" customFormat="1">
      <c r="G212" s="97"/>
      <c r="I212" s="97"/>
      <c r="K212" s="97"/>
      <c r="M212" s="281"/>
      <c r="N212" s="311"/>
      <c r="O212" s="340"/>
      <c r="P212" s="340"/>
      <c r="Q212" s="98"/>
      <c r="R212" s="98"/>
    </row>
  </sheetData>
  <sheetProtection password="F2F3" sheet="1" objects="1" scenarios="1" formatCells="0" formatColumns="0" formatRows="0" insertColumns="0" insertRows="0"/>
  <customSheetViews>
    <customSheetView guid="{BC7AD179-3218-4244-A3F6-4056F6A573C9}" scale="75">
      <selection activeCell="L5" sqref="L5"/>
      <pageMargins left="0.15748031496062992" right="0.15748031496062992" top="0.98425196850393704" bottom="0.98425196850393704" header="0.51181102362204722" footer="0.51181102362204722"/>
      <printOptions horizontalCentered="1" verticalCentered="1"/>
      <pageSetup paperSize="5" scale="80" orientation="landscape" horizontalDpi="360" verticalDpi="360" r:id="rId1"/>
      <headerFooter alignWithMargins="0"/>
    </customSheetView>
  </customSheetViews>
  <mergeCells count="113">
    <mergeCell ref="L44:R44"/>
    <mergeCell ref="J27:K27"/>
    <mergeCell ref="S29:V31"/>
    <mergeCell ref="D29:E29"/>
    <mergeCell ref="F29:G29"/>
    <mergeCell ref="S32:V34"/>
    <mergeCell ref="S35:V37"/>
    <mergeCell ref="H33:I33"/>
    <mergeCell ref="J33:K33"/>
    <mergeCell ref="D30:E30"/>
    <mergeCell ref="F43:G43"/>
    <mergeCell ref="H43:I43"/>
    <mergeCell ref="J43:K43"/>
    <mergeCell ref="D41:E41"/>
    <mergeCell ref="F27:G27"/>
    <mergeCell ref="J37:K37"/>
    <mergeCell ref="H27:I27"/>
    <mergeCell ref="D39:E39"/>
    <mergeCell ref="F30:G30"/>
    <mergeCell ref="H30:I30"/>
    <mergeCell ref="H31:I31"/>
    <mergeCell ref="J31:K31"/>
    <mergeCell ref="J42:K42"/>
    <mergeCell ref="D40:E40"/>
    <mergeCell ref="L3:T3"/>
    <mergeCell ref="D43:E43"/>
    <mergeCell ref="F41:G41"/>
    <mergeCell ref="H41:I41"/>
    <mergeCell ref="J41:K41"/>
    <mergeCell ref="D42:E42"/>
    <mergeCell ref="H29:I29"/>
    <mergeCell ref="J29:K29"/>
    <mergeCell ref="D31:E31"/>
    <mergeCell ref="F31:G31"/>
    <mergeCell ref="F28:G28"/>
    <mergeCell ref="D27:E27"/>
    <mergeCell ref="D28:E28"/>
    <mergeCell ref="Q23:R25"/>
    <mergeCell ref="S23:V25"/>
    <mergeCell ref="J39:K39"/>
    <mergeCell ref="D38:E38"/>
    <mergeCell ref="F38:G38"/>
    <mergeCell ref="H38:I38"/>
    <mergeCell ref="J38:K38"/>
    <mergeCell ref="H40:I40"/>
    <mergeCell ref="J40:K40"/>
    <mergeCell ref="F42:G42"/>
    <mergeCell ref="H42:I42"/>
    <mergeCell ref="Y38:Z40"/>
    <mergeCell ref="C20:Z20"/>
    <mergeCell ref="Q29:R31"/>
    <mergeCell ref="Q32:R34"/>
    <mergeCell ref="Q35:R37"/>
    <mergeCell ref="F40:G40"/>
    <mergeCell ref="H34:I34"/>
    <mergeCell ref="F26:G26"/>
    <mergeCell ref="J26:K26"/>
    <mergeCell ref="J34:K34"/>
    <mergeCell ref="D33:E33"/>
    <mergeCell ref="H28:I28"/>
    <mergeCell ref="J28:K28"/>
    <mergeCell ref="J30:K30"/>
    <mergeCell ref="H36:I36"/>
    <mergeCell ref="F39:G39"/>
    <mergeCell ref="H39:I39"/>
    <mergeCell ref="A3:B3"/>
    <mergeCell ref="Q38:R40"/>
    <mergeCell ref="S38:V40"/>
    <mergeCell ref="W38:X40"/>
    <mergeCell ref="W35:X37"/>
    <mergeCell ref="Q22:Z22"/>
    <mergeCell ref="C24:K24"/>
    <mergeCell ref="Y23:Z25"/>
    <mergeCell ref="F36:G36"/>
    <mergeCell ref="F33:G33"/>
    <mergeCell ref="Y26:Z28"/>
    <mergeCell ref="S26:V28"/>
    <mergeCell ref="Q26:R28"/>
    <mergeCell ref="D32:E32"/>
    <mergeCell ref="F32:G32"/>
    <mergeCell ref="H32:I32"/>
    <mergeCell ref="J32:K32"/>
    <mergeCell ref="C22:K22"/>
    <mergeCell ref="C23:K23"/>
    <mergeCell ref="Y35:Z37"/>
    <mergeCell ref="D34:E34"/>
    <mergeCell ref="F34:G34"/>
    <mergeCell ref="H26:I26"/>
    <mergeCell ref="D26:E26"/>
    <mergeCell ref="C1:Z1"/>
    <mergeCell ref="C2:Z2"/>
    <mergeCell ref="W3:Z3"/>
    <mergeCell ref="D25:E25"/>
    <mergeCell ref="F25:G25"/>
    <mergeCell ref="D37:E37"/>
    <mergeCell ref="D35:E35"/>
    <mergeCell ref="F35:G35"/>
    <mergeCell ref="H35:I35"/>
    <mergeCell ref="J35:K35"/>
    <mergeCell ref="F37:G37"/>
    <mergeCell ref="H37:I37"/>
    <mergeCell ref="J36:K36"/>
    <mergeCell ref="D36:E36"/>
    <mergeCell ref="W23:X25"/>
    <mergeCell ref="W29:X31"/>
    <mergeCell ref="Y29:Z31"/>
    <mergeCell ref="W32:X34"/>
    <mergeCell ref="Y32:Z34"/>
    <mergeCell ref="W26:X28"/>
    <mergeCell ref="C21:K21"/>
    <mergeCell ref="I3:K3"/>
    <mergeCell ref="H25:I25"/>
    <mergeCell ref="J25:K25"/>
  </mergeCells>
  <phoneticPr fontId="0" type="noConversion"/>
  <dataValidations count="2">
    <dataValidation type="list" allowBlank="1" showInputMessage="1" showErrorMessage="1" promptTitle="C.P.F / CONTRIBUTION TO N.P.F" prompt="CLICK THE DROP DOWN LIST BOX TO SELECT THE APPROPRIATE DEDUCTION." sqref="R4">
      <formula1>"C.P.F, NPF contribution"</formula1>
    </dataValidation>
    <dataValidation type="list" allowBlank="1" showInputMessage="1" showErrorMessage="1" promptTitle="SPECIAL PAY / OFFICIATING ALL." prompt="CLICK DROP DOWN LIST BOX TO SELECT THE APPROPRIATE HEAD." sqref="E4">
      <formula1>"Spl Pay, Off All"</formula1>
    </dataValidation>
  </dataValidations>
  <hyperlinks>
    <hyperlink ref="W3:Z3" location="'Data Sheet'!A1" tooltip="Click to return to the Data Sheet.If you close this worksheet the entire workbook will be closed. Ensure to save before closing the worksheet." display="Click to return to the Data Sheet"/>
  </hyperlinks>
  <printOptions horizontalCentered="1" verticalCentered="1"/>
  <pageMargins left="0.15748031496063" right="0.15748031496063" top="0.98425196850393704" bottom="0.98425196850393704" header="0.511811023622047" footer="0.511811023622047"/>
  <pageSetup paperSize="9" scale="65" fitToHeight="2" orientation="landscape" horizontalDpi="360" verticalDpi="360"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19</vt:i4>
      </vt:variant>
    </vt:vector>
  </HeadingPairs>
  <TitlesOfParts>
    <vt:vector size="38" baseType="lpstr">
      <vt:lpstr>Preface</vt:lpstr>
      <vt:lpstr>Guidelines</vt:lpstr>
      <vt:lpstr>IT Declaration</vt:lpstr>
      <vt:lpstr>Form 10E</vt:lpstr>
      <vt:lpstr>TABLE A FOR FORM 10E</vt:lpstr>
      <vt:lpstr>Data for Relief US 89</vt:lpstr>
      <vt:lpstr>Data Sheet</vt:lpstr>
      <vt:lpstr>Computation Sheet</vt:lpstr>
      <vt:lpstr>Earnings Sheet</vt:lpstr>
      <vt:lpstr>Form 16 Revised</vt:lpstr>
      <vt:lpstr>Form 12BA</vt:lpstr>
      <vt:lpstr>Perks Sheet</vt:lpstr>
      <vt:lpstr>Perks on Loans</vt:lpstr>
      <vt:lpstr>NSC VIII Issue</vt:lpstr>
      <vt:lpstr>NSC IX Issue</vt:lpstr>
      <vt:lpstr>HRA Calculator</vt:lpstr>
      <vt:lpstr>CIT-TDS</vt:lpstr>
      <vt:lpstr>Excess Interest on PF</vt:lpstr>
      <vt:lpstr>Foreword</vt:lpstr>
      <vt:lpstr>JurisdictionalDistrict</vt:lpstr>
      <vt:lpstr>Guidelines!OLE_LINK2</vt:lpstr>
      <vt:lpstr>Guidelines!OLE_LINK4</vt:lpstr>
      <vt:lpstr>'Data Sheet'!Print_Area</vt:lpstr>
      <vt:lpstr>'Earnings Sheet'!Print_Area</vt:lpstr>
      <vt:lpstr>'Form 12BA'!Print_Area</vt:lpstr>
      <vt:lpstr>'Perks on Loans'!Print_Area</vt:lpstr>
      <vt:lpstr>'Perks Sheet'!Print_Area</vt:lpstr>
      <vt:lpstr>'Computation Sheet'!Print_Titles</vt:lpstr>
      <vt:lpstr>'Data Sheet'!Print_Titles</vt:lpstr>
      <vt:lpstr>'Earnings Sheet'!Print_Titles</vt:lpstr>
      <vt:lpstr>'Form 16 Revised'!Print_Titles</vt:lpstr>
      <vt:lpstr>'HRA Calculator'!Print_Titles</vt:lpstr>
      <vt:lpstr>'IT Declaration'!Print_Titles</vt:lpstr>
      <vt:lpstr>'Perks Sheet'!Print_Titles</vt:lpstr>
      <vt:lpstr>State</vt:lpstr>
      <vt:lpstr>States</vt:lpstr>
      <vt:lpstr>States_r</vt:lpstr>
      <vt:lpstr>Statess</vt:lpstr>
    </vt:vector>
  </TitlesOfParts>
  <Company>UNION BANK OF INDIA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ESTABLISHMENT</dc:creator>
  <cp:lastModifiedBy>Kamal</cp:lastModifiedBy>
  <cp:lastPrinted>2020-02-02T06:57:14Z</cp:lastPrinted>
  <dcterms:created xsi:type="dcterms:W3CDTF">2003-11-06T07:32:41Z</dcterms:created>
  <dcterms:modified xsi:type="dcterms:W3CDTF">2021-03-18T10:18:50Z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er">
    <vt:lpwstr>O.D.Kamalakannan</vt:lpwstr>
  </property>
  <property fmtid="{D5CDD505-2E9C-101B-9397-08002B2CF9AE}" pid="3" name="Document Number">
    <vt:lpwstr>ITRR Version 1.03</vt:lpwstr>
  </property>
  <property fmtid="{D5CDD505-2E9C-101B-9397-08002B2CF9AE}" pid="4" name="Reference">
    <vt:lpwstr>Asst. Year 2012-2013</vt:lpwstr>
  </property>
</Properties>
</file>